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DOCUMENTOS DO SETOR DE CONTRATOS\A2 - REPACTUAÇÕES\ENGEMIL - CT 14-2019-MME (NOVO  - Manutenção Predial)\"/>
    </mc:Choice>
  </mc:AlternateContent>
  <bookViews>
    <workbookView xWindow="0" yWindow="0" windowWidth="13395" windowHeight="6510" tabRatio="966" firstSheet="2" activeTab="13"/>
  </bookViews>
  <sheets>
    <sheet name="Relação Mat. Consumo Repos. (2" sheetId="32" state="hidden" r:id="rId1"/>
    <sheet name="Mat. Dimerização" sheetId="8" state="hidden" r:id="rId2"/>
    <sheet name="RESUMO (MO+MAT)" sheetId="29" r:id="rId3"/>
    <sheet name="Eng. Eletric" sheetId="14" r:id="rId4"/>
    <sheet name="Encarreg" sheetId="36" r:id="rId5"/>
    <sheet name="Tec. Eletron." sheetId="37" r:id="rId6"/>
    <sheet name="Téc. Eletromec." sheetId="52" r:id="rId7"/>
    <sheet name="Eletricista" sheetId="54" r:id="rId8"/>
    <sheet name="Bombeiro" sheetId="55" r:id="rId9"/>
    <sheet name="Art. Manut" sheetId="56" r:id="rId10"/>
    <sheet name="Elet. Plant-D" sheetId="43" r:id="rId11"/>
    <sheet name="Elet. Plant-N" sheetId="57" r:id="rId12"/>
    <sheet name="Aj. Manut" sheetId="45" r:id="rId13"/>
    <sheet name="Téc. Adm" sheetId="48" r:id="rId14"/>
    <sheet name="MAT." sheetId="64" r:id="rId15"/>
    <sheet name="Ferramentas - Equipts" sheetId="61" r:id="rId16"/>
    <sheet name="Uniformes" sheetId="16" r:id="rId17"/>
  </sheets>
  <definedNames>
    <definedName name="ADM">'RESUMO (MO+MAT)'!$J$49</definedName>
    <definedName name="_xlnm.Print_Area" localSheetId="12">'Aj. Manut'!$A$1:$I$147</definedName>
    <definedName name="_xlnm.Print_Area" localSheetId="9">'Art. Manut'!$A$1:$I$147</definedName>
    <definedName name="_xlnm.Print_Area" localSheetId="8">Bombeiro!$A$1:$I$147</definedName>
    <definedName name="_xlnm.Print_Area" localSheetId="10">'Elet. Plant-D'!$A$1:$I$147</definedName>
    <definedName name="_xlnm.Print_Area" localSheetId="11">'Elet. Plant-N'!$A$1:$I$147</definedName>
    <definedName name="_xlnm.Print_Area" localSheetId="7">Eletricista!$A$1:$I$147</definedName>
    <definedName name="_xlnm.Print_Area" localSheetId="4">Encarreg!$A$1:$I$147</definedName>
    <definedName name="_xlnm.Print_Area" localSheetId="3">'Eng. Eletric'!$A$1:$K$147</definedName>
    <definedName name="_xlnm.Print_Area" localSheetId="15">'Ferramentas - Equipts'!$A$1:$F$110</definedName>
    <definedName name="_xlnm.Print_Area" localSheetId="14">MAT.!$A$1:$F$337</definedName>
    <definedName name="_xlnm.Print_Area" localSheetId="2">'RESUMO (MO+MAT)'!$A$1:$G$138</definedName>
    <definedName name="_xlnm.Print_Area" localSheetId="13">'Téc. Adm'!$A$1:$I$147</definedName>
    <definedName name="_xlnm.Print_Area" localSheetId="6">'Téc. Eletromec.'!$A$1:$I$147</definedName>
    <definedName name="_xlnm.Print_Area" localSheetId="5">'Tec. Eletron.'!$A$1:$I$147</definedName>
    <definedName name="LUCRO_ENGEMIL">'RESUMO (MO+MAT)'!$J$50</definedName>
  </definedNames>
  <calcPr calcId="162913"/>
</workbook>
</file>

<file path=xl/calcChain.xml><?xml version="1.0" encoding="utf-8"?>
<calcChain xmlns="http://schemas.openxmlformats.org/spreadsheetml/2006/main">
  <c r="E137" i="29" l="1"/>
  <c r="F137" i="29" s="1"/>
  <c r="B111" i="29"/>
  <c r="B128" i="29" s="1"/>
  <c r="B110" i="29"/>
  <c r="B127" i="29" s="1"/>
  <c r="B109" i="29"/>
  <c r="B126" i="29" s="1"/>
  <c r="B108" i="29"/>
  <c r="B125" i="29" s="1"/>
  <c r="B107" i="29"/>
  <c r="B124" i="29" s="1"/>
  <c r="B106" i="29"/>
  <c r="B105" i="29"/>
  <c r="B104" i="29"/>
  <c r="B103" i="29"/>
  <c r="B120" i="29" s="1"/>
  <c r="B102" i="29"/>
  <c r="B119" i="29" s="1"/>
  <c r="B101" i="29"/>
  <c r="B118" i="29" s="1"/>
  <c r="F112" i="29"/>
  <c r="B123" i="29"/>
  <c r="B122" i="29"/>
  <c r="B121" i="29"/>
  <c r="K123" i="14"/>
  <c r="K125" i="14" s="1"/>
  <c r="K144" i="14" s="1"/>
  <c r="K66" i="14"/>
  <c r="K72" i="14"/>
  <c r="K80" i="14" s="1"/>
  <c r="J103" i="14"/>
  <c r="J102" i="14"/>
  <c r="J101" i="14"/>
  <c r="J100" i="14"/>
  <c r="J99" i="14"/>
  <c r="J98" i="14"/>
  <c r="J104" i="14" s="1"/>
  <c r="J115" i="14" s="1"/>
  <c r="J88" i="14"/>
  <c r="J90" i="14" s="1"/>
  <c r="J87" i="14"/>
  <c r="J86" i="14"/>
  <c r="J58" i="14"/>
  <c r="J89" i="14" s="1"/>
  <c r="J43" i="14"/>
  <c r="J42" i="14"/>
  <c r="J35" i="14"/>
  <c r="K29" i="14"/>
  <c r="K30" i="14" s="1"/>
  <c r="J25" i="14"/>
  <c r="J91" i="14" l="1"/>
  <c r="K31" i="14"/>
  <c r="K32" i="14" s="1"/>
  <c r="K33" i="14" s="1"/>
  <c r="E94" i="29"/>
  <c r="B68" i="29"/>
  <c r="B85" i="29" s="1"/>
  <c r="B67" i="29"/>
  <c r="B84" i="29" s="1"/>
  <c r="B66" i="29"/>
  <c r="B83" i="29" s="1"/>
  <c r="B65" i="29"/>
  <c r="B64" i="29"/>
  <c r="B81" i="29" s="1"/>
  <c r="B63" i="29"/>
  <c r="B80" i="29" s="1"/>
  <c r="B62" i="29"/>
  <c r="B79" i="29" s="1"/>
  <c r="B61" i="29"/>
  <c r="B78" i="29" s="1"/>
  <c r="B60" i="29"/>
  <c r="B77" i="29" s="1"/>
  <c r="B59" i="29"/>
  <c r="B76" i="29" s="1"/>
  <c r="B58" i="29"/>
  <c r="B75" i="29" s="1"/>
  <c r="F94" i="29"/>
  <c r="F69" i="29"/>
  <c r="B82" i="29"/>
  <c r="K35" i="14" l="1"/>
  <c r="K100" i="14" s="1"/>
  <c r="K41" i="14"/>
  <c r="K102" i="14"/>
  <c r="K98" i="14"/>
  <c r="K140" i="14"/>
  <c r="K103" i="14"/>
  <c r="K99" i="14"/>
  <c r="K42" i="14"/>
  <c r="I103" i="57"/>
  <c r="I102" i="57"/>
  <c r="I101" i="57"/>
  <c r="I90" i="57"/>
  <c r="I66" i="57"/>
  <c r="I90" i="48"/>
  <c r="I66" i="48"/>
  <c r="H25" i="48"/>
  <c r="I66" i="45"/>
  <c r="I90" i="43"/>
  <c r="I66" i="43"/>
  <c r="I90" i="56"/>
  <c r="I88" i="56"/>
  <c r="I66" i="56"/>
  <c r="I90" i="55"/>
  <c r="I66" i="55"/>
  <c r="I90" i="54"/>
  <c r="I66" i="54"/>
  <c r="I90" i="52"/>
  <c r="I66" i="52"/>
  <c r="I90" i="36"/>
  <c r="I88" i="36"/>
  <c r="I90" i="37"/>
  <c r="I66" i="37"/>
  <c r="I66" i="36"/>
  <c r="K101" i="14" l="1"/>
  <c r="K104" i="14"/>
  <c r="K115" i="14" s="1"/>
  <c r="K117" i="14" s="1"/>
  <c r="K143" i="14" s="1"/>
  <c r="K43" i="14"/>
  <c r="I144" i="45"/>
  <c r="E132" i="45"/>
  <c r="G145" i="45"/>
  <c r="G144" i="45"/>
  <c r="G143" i="45"/>
  <c r="G142" i="45"/>
  <c r="G141" i="45"/>
  <c r="G140" i="45"/>
  <c r="I125" i="45"/>
  <c r="I123" i="45"/>
  <c r="I121" i="45"/>
  <c r="G125" i="45"/>
  <c r="G123" i="45"/>
  <c r="G121" i="45"/>
  <c r="G90" i="45"/>
  <c r="G88" i="45"/>
  <c r="G81" i="45"/>
  <c r="G80" i="45"/>
  <c r="G79" i="45"/>
  <c r="G78" i="45"/>
  <c r="G72" i="45"/>
  <c r="G66" i="45"/>
  <c r="G65" i="45"/>
  <c r="I121" i="48"/>
  <c r="I123" i="48"/>
  <c r="I123" i="57"/>
  <c r="I121" i="57"/>
  <c r="H25" i="57"/>
  <c r="I123" i="43"/>
  <c r="I121" i="43"/>
  <c r="H25" i="43"/>
  <c r="I123" i="56"/>
  <c r="I121" i="56"/>
  <c r="H25" i="56"/>
  <c r="H25" i="55"/>
  <c r="I123" i="55"/>
  <c r="I121" i="55"/>
  <c r="I123" i="54"/>
  <c r="I121" i="54"/>
  <c r="H25" i="54"/>
  <c r="I123" i="52"/>
  <c r="I121" i="52"/>
  <c r="H25" i="52"/>
  <c r="I123" i="37"/>
  <c r="I121" i="37"/>
  <c r="H25" i="36"/>
  <c r="H25" i="37"/>
  <c r="I123" i="36"/>
  <c r="I121" i="36"/>
  <c r="K78" i="14" l="1"/>
  <c r="K85" i="14"/>
  <c r="K90" i="14"/>
  <c r="K56" i="14"/>
  <c r="K88" i="14"/>
  <c r="K55" i="14"/>
  <c r="K54" i="14"/>
  <c r="K57" i="14"/>
  <c r="K86" i="14"/>
  <c r="K51" i="14"/>
  <c r="K50" i="14"/>
  <c r="K89" i="14"/>
  <c r="K53" i="14"/>
  <c r="K87" i="14"/>
  <c r="K52" i="14"/>
  <c r="H103" i="45"/>
  <c r="H102" i="45"/>
  <c r="H101" i="45"/>
  <c r="H100" i="45"/>
  <c r="H99" i="45"/>
  <c r="H98" i="45"/>
  <c r="H88" i="45"/>
  <c r="H90" i="45" s="1"/>
  <c r="H87" i="45"/>
  <c r="H86" i="45"/>
  <c r="H58" i="45"/>
  <c r="H42" i="45"/>
  <c r="H43" i="45" s="1"/>
  <c r="H35" i="45"/>
  <c r="I29" i="45"/>
  <c r="I30" i="45" s="1"/>
  <c r="I31" i="45" s="1"/>
  <c r="I32" i="45" s="1"/>
  <c r="I33" i="45" s="1"/>
  <c r="H25" i="45"/>
  <c r="K91" i="14" l="1"/>
  <c r="K142" i="14" s="1"/>
  <c r="K58" i="14"/>
  <c r="K79" i="14" s="1"/>
  <c r="K81" i="14" s="1"/>
  <c r="H89" i="45"/>
  <c r="H91" i="45" s="1"/>
  <c r="H104" i="45"/>
  <c r="H115" i="45" s="1"/>
  <c r="I35" i="45"/>
  <c r="H103" i="48"/>
  <c r="H102" i="48"/>
  <c r="H101" i="48"/>
  <c r="H100" i="48"/>
  <c r="H99" i="48"/>
  <c r="H98" i="48"/>
  <c r="H88" i="48"/>
  <c r="H90" i="48" s="1"/>
  <c r="H87" i="48"/>
  <c r="H86" i="48"/>
  <c r="H58" i="48"/>
  <c r="H89" i="48" s="1"/>
  <c r="I89" i="48" s="1"/>
  <c r="H42" i="48"/>
  <c r="H43" i="48" s="1"/>
  <c r="H35" i="48"/>
  <c r="I29" i="48"/>
  <c r="F103" i="45"/>
  <c r="F102" i="45"/>
  <c r="F101" i="45"/>
  <c r="F100" i="45"/>
  <c r="F99" i="45"/>
  <c r="F98" i="45"/>
  <c r="F88" i="45"/>
  <c r="F87" i="45"/>
  <c r="F86" i="45"/>
  <c r="F58" i="45"/>
  <c r="F42" i="45"/>
  <c r="F43" i="45" s="1"/>
  <c r="F35" i="45"/>
  <c r="G29" i="45"/>
  <c r="F25" i="45"/>
  <c r="H103" i="57"/>
  <c r="H102" i="57"/>
  <c r="H101" i="57"/>
  <c r="H100" i="57"/>
  <c r="H99" i="57"/>
  <c r="H98" i="57"/>
  <c r="H88" i="57"/>
  <c r="H90" i="57" s="1"/>
  <c r="H87" i="57"/>
  <c r="H86" i="57"/>
  <c r="H58" i="57"/>
  <c r="H89" i="57" s="1"/>
  <c r="I89" i="57" s="1"/>
  <c r="H42" i="57"/>
  <c r="H43" i="57" s="1"/>
  <c r="H35" i="57"/>
  <c r="I29" i="57"/>
  <c r="I65" i="57" s="1"/>
  <c r="I72" i="57" s="1"/>
  <c r="I80" i="57" s="1"/>
  <c r="H103" i="43"/>
  <c r="H102" i="43"/>
  <c r="H101" i="43"/>
  <c r="H100" i="43"/>
  <c r="H99" i="43"/>
  <c r="H98" i="43"/>
  <c r="H88" i="43"/>
  <c r="H90" i="43" s="1"/>
  <c r="H87" i="43"/>
  <c r="H86" i="43"/>
  <c r="H58" i="43"/>
  <c r="H89" i="43" s="1"/>
  <c r="I89" i="43" s="1"/>
  <c r="H42" i="43"/>
  <c r="H43" i="43" s="1"/>
  <c r="H35" i="43"/>
  <c r="I29" i="43"/>
  <c r="I65" i="43" s="1"/>
  <c r="I72" i="43" s="1"/>
  <c r="I80" i="43" s="1"/>
  <c r="H103" i="56"/>
  <c r="H102" i="56"/>
  <c r="H101" i="56"/>
  <c r="H100" i="56"/>
  <c r="H99" i="56"/>
  <c r="H98" i="56"/>
  <c r="H88" i="56"/>
  <c r="H90" i="56" s="1"/>
  <c r="H87" i="56"/>
  <c r="H86" i="56"/>
  <c r="H58" i="56"/>
  <c r="H89" i="56" s="1"/>
  <c r="H42" i="56"/>
  <c r="H43" i="56" s="1"/>
  <c r="H35" i="56"/>
  <c r="I29" i="56"/>
  <c r="I30" i="56" s="1"/>
  <c r="H103" i="55"/>
  <c r="H102" i="55"/>
  <c r="H101" i="55"/>
  <c r="H100" i="55"/>
  <c r="H99" i="55"/>
  <c r="H98" i="55"/>
  <c r="H88" i="55"/>
  <c r="H90" i="55" s="1"/>
  <c r="H87" i="55"/>
  <c r="H86" i="55"/>
  <c r="H58" i="55"/>
  <c r="H89" i="55" s="1"/>
  <c r="I89" i="55" s="1"/>
  <c r="H42" i="55"/>
  <c r="H43" i="55" s="1"/>
  <c r="H35" i="55"/>
  <c r="I31" i="55"/>
  <c r="I29" i="55"/>
  <c r="I65" i="55" s="1"/>
  <c r="H103" i="54"/>
  <c r="H102" i="54"/>
  <c r="H101" i="54"/>
  <c r="H100" i="54"/>
  <c r="H99" i="54"/>
  <c r="H98" i="54"/>
  <c r="H88" i="54"/>
  <c r="H87" i="54"/>
  <c r="H86" i="54"/>
  <c r="H58" i="54"/>
  <c r="H42" i="54"/>
  <c r="H43" i="54" s="1"/>
  <c r="H35" i="54"/>
  <c r="I29" i="54"/>
  <c r="I65" i="54" s="1"/>
  <c r="I72" i="54" s="1"/>
  <c r="I80" i="54" s="1"/>
  <c r="H103" i="52"/>
  <c r="H102" i="52"/>
  <c r="H101" i="52"/>
  <c r="H100" i="52"/>
  <c r="H99" i="52"/>
  <c r="H98" i="52"/>
  <c r="H88" i="52"/>
  <c r="H90" i="52" s="1"/>
  <c r="H87" i="52"/>
  <c r="H86" i="52"/>
  <c r="H58" i="52"/>
  <c r="H89" i="52" s="1"/>
  <c r="I89" i="52" s="1"/>
  <c r="H42" i="52"/>
  <c r="H43" i="52" s="1"/>
  <c r="H35" i="52"/>
  <c r="I29" i="52"/>
  <c r="I65" i="52" s="1"/>
  <c r="I72" i="52" s="1"/>
  <c r="I80" i="52" s="1"/>
  <c r="I125" i="36"/>
  <c r="I144" i="36" s="1"/>
  <c r="H103" i="36"/>
  <c r="H102" i="36"/>
  <c r="H101" i="36"/>
  <c r="H100" i="36"/>
  <c r="H99" i="36"/>
  <c r="H98" i="36"/>
  <c r="H88" i="36"/>
  <c r="H90" i="36" s="1"/>
  <c r="H87" i="36"/>
  <c r="H86" i="36"/>
  <c r="H58" i="36"/>
  <c r="H89" i="36" s="1"/>
  <c r="H42" i="36"/>
  <c r="H43" i="36" s="1"/>
  <c r="H35" i="36"/>
  <c r="I29" i="36"/>
  <c r="I65" i="36" s="1"/>
  <c r="I72" i="36" s="1"/>
  <c r="I80" i="36" s="1"/>
  <c r="H22" i="36"/>
  <c r="H103" i="37"/>
  <c r="H102" i="37"/>
  <c r="H101" i="37"/>
  <c r="H100" i="37"/>
  <c r="H99" i="37"/>
  <c r="H98" i="37"/>
  <c r="H88" i="37"/>
  <c r="H90" i="37" s="1"/>
  <c r="H87" i="37"/>
  <c r="H86" i="37"/>
  <c r="H58" i="37"/>
  <c r="H42" i="37"/>
  <c r="H43" i="37" s="1"/>
  <c r="H35" i="37"/>
  <c r="I29" i="37"/>
  <c r="I65" i="37" s="1"/>
  <c r="I72" i="37" s="1"/>
  <c r="I80" i="37" s="1"/>
  <c r="K130" i="14" l="1"/>
  <c r="K141" i="14"/>
  <c r="K145" i="14" s="1"/>
  <c r="I101" i="45"/>
  <c r="I140" i="45"/>
  <c r="I65" i="45"/>
  <c r="I72" i="45" s="1"/>
  <c r="I80" i="45" s="1"/>
  <c r="I125" i="43"/>
  <c r="I144" i="43" s="1"/>
  <c r="H89" i="37"/>
  <c r="F89" i="45"/>
  <c r="F104" i="45"/>
  <c r="F115" i="45" s="1"/>
  <c r="I125" i="52"/>
  <c r="H104" i="37"/>
  <c r="H115" i="37" s="1"/>
  <c r="I125" i="56"/>
  <c r="I144" i="56" s="1"/>
  <c r="I125" i="54"/>
  <c r="I144" i="54" s="1"/>
  <c r="H104" i="36"/>
  <c r="H115" i="36" s="1"/>
  <c r="I125" i="37"/>
  <c r="I144" i="37" s="1"/>
  <c r="H104" i="52"/>
  <c r="H115" i="52" s="1"/>
  <c r="I41" i="45"/>
  <c r="I98" i="45"/>
  <c r="I102" i="45"/>
  <c r="I100" i="45"/>
  <c r="I103" i="45"/>
  <c r="I42" i="45"/>
  <c r="I99" i="45"/>
  <c r="H89" i="54"/>
  <c r="I89" i="54" s="1"/>
  <c r="I30" i="54"/>
  <c r="I31" i="54" s="1"/>
  <c r="I32" i="54" s="1"/>
  <c r="I33" i="54" s="1"/>
  <c r="I125" i="55"/>
  <c r="I72" i="55"/>
  <c r="I80" i="55" s="1"/>
  <c r="I35" i="55"/>
  <c r="I103" i="55" s="1"/>
  <c r="I65" i="56"/>
  <c r="I72" i="56" s="1"/>
  <c r="I80" i="56" s="1"/>
  <c r="H104" i="43"/>
  <c r="H115" i="43" s="1"/>
  <c r="I125" i="57"/>
  <c r="H104" i="57"/>
  <c r="H115" i="57" s="1"/>
  <c r="H91" i="48"/>
  <c r="I125" i="48"/>
  <c r="H104" i="48"/>
  <c r="H115" i="48" s="1"/>
  <c r="I30" i="48"/>
  <c r="I31" i="48" s="1"/>
  <c r="I32" i="48" s="1"/>
  <c r="I33" i="48" s="1"/>
  <c r="F90" i="45"/>
  <c r="G30" i="45"/>
  <c r="G31" i="45" s="1"/>
  <c r="G32" i="45" s="1"/>
  <c r="G33" i="45" s="1"/>
  <c r="H91" i="57"/>
  <c r="I30" i="57"/>
  <c r="H91" i="43"/>
  <c r="I30" i="43"/>
  <c r="I31" i="43" s="1"/>
  <c r="I32" i="43" s="1"/>
  <c r="I33" i="43" s="1"/>
  <c r="I31" i="56"/>
  <c r="I32" i="56" s="1"/>
  <c r="I33" i="56" s="1"/>
  <c r="H91" i="56"/>
  <c r="H104" i="56"/>
  <c r="H115" i="56" s="1"/>
  <c r="H104" i="55"/>
  <c r="H115" i="55" s="1"/>
  <c r="H91" i="55"/>
  <c r="H90" i="54"/>
  <c r="H104" i="54"/>
  <c r="H115" i="54" s="1"/>
  <c r="H91" i="52"/>
  <c r="I30" i="52"/>
  <c r="I31" i="52" s="1"/>
  <c r="I32" i="52" s="1"/>
  <c r="I33" i="52" s="1"/>
  <c r="H91" i="36"/>
  <c r="I30" i="36"/>
  <c r="I31" i="36" s="1"/>
  <c r="I32" i="36" s="1"/>
  <c r="I33" i="36" s="1"/>
  <c r="I30" i="37"/>
  <c r="I31" i="37" s="1"/>
  <c r="I32" i="37" s="1"/>
  <c r="I33" i="37" s="1"/>
  <c r="H25" i="14"/>
  <c r="I66" i="14"/>
  <c r="I72" i="14" s="1"/>
  <c r="I80" i="14" s="1"/>
  <c r="I123" i="14"/>
  <c r="I125" i="14" s="1"/>
  <c r="I144" i="14" s="1"/>
  <c r="H103" i="14"/>
  <c r="H102" i="14"/>
  <c r="H101" i="14"/>
  <c r="H100" i="14"/>
  <c r="H99" i="14"/>
  <c r="H98" i="14"/>
  <c r="H88" i="14"/>
  <c r="H90" i="14" s="1"/>
  <c r="H87" i="14"/>
  <c r="H86" i="14"/>
  <c r="H58" i="14"/>
  <c r="H42" i="14"/>
  <c r="H43" i="14" s="1"/>
  <c r="H35" i="14"/>
  <c r="I29" i="14"/>
  <c r="I30" i="14" s="1"/>
  <c r="I31" i="14" s="1"/>
  <c r="I32" i="14" s="1"/>
  <c r="I33" i="14" s="1"/>
  <c r="K131" i="14" l="1"/>
  <c r="K147" i="14" s="1"/>
  <c r="C101" i="29" s="1"/>
  <c r="E101" i="29" s="1"/>
  <c r="G101" i="29" s="1"/>
  <c r="H91" i="37"/>
  <c r="I89" i="37"/>
  <c r="I144" i="48"/>
  <c r="I144" i="57"/>
  <c r="I144" i="55"/>
  <c r="I144" i="52"/>
  <c r="I43" i="45"/>
  <c r="I41" i="55"/>
  <c r="I101" i="55"/>
  <c r="I35" i="36"/>
  <c r="I35" i="52"/>
  <c r="I100" i="52" s="1"/>
  <c r="I104" i="45"/>
  <c r="I115" i="45" s="1"/>
  <c r="I117" i="45" s="1"/>
  <c r="I35" i="54"/>
  <c r="I98" i="55"/>
  <c r="I100" i="55"/>
  <c r="I140" i="55"/>
  <c r="I99" i="55"/>
  <c r="I42" i="55"/>
  <c r="I102" i="55"/>
  <c r="I35" i="48"/>
  <c r="I42" i="48" s="1"/>
  <c r="F91" i="45"/>
  <c r="G35" i="45"/>
  <c r="I31" i="57"/>
  <c r="I32" i="57"/>
  <c r="I33" i="57" s="1"/>
  <c r="I35" i="43"/>
  <c r="I35" i="56"/>
  <c r="H91" i="54"/>
  <c r="I35" i="37"/>
  <c r="H89" i="14"/>
  <c r="H91" i="14" s="1"/>
  <c r="H104" i="14"/>
  <c r="H115" i="14" s="1"/>
  <c r="I35" i="14"/>
  <c r="I140" i="14" s="1"/>
  <c r="F101" i="57"/>
  <c r="F58" i="55"/>
  <c r="G31" i="55"/>
  <c r="G118" i="29" l="1"/>
  <c r="K133" i="14"/>
  <c r="K134" i="14"/>
  <c r="I89" i="45"/>
  <c r="I78" i="45"/>
  <c r="I88" i="45"/>
  <c r="I90" i="45"/>
  <c r="I55" i="45"/>
  <c r="I143" i="45"/>
  <c r="I41" i="54"/>
  <c r="I140" i="52"/>
  <c r="I101" i="36"/>
  <c r="I57" i="45"/>
  <c r="I85" i="45"/>
  <c r="I102" i="54"/>
  <c r="I65" i="48"/>
  <c r="I72" i="48" s="1"/>
  <c r="I80" i="48" s="1"/>
  <c r="I53" i="45"/>
  <c r="I87" i="45"/>
  <c r="I86" i="45"/>
  <c r="I56" i="45"/>
  <c r="I51" i="45"/>
  <c r="I50" i="45"/>
  <c r="I54" i="45"/>
  <c r="I52" i="45"/>
  <c r="I43" i="55"/>
  <c r="I100" i="36"/>
  <c r="I102" i="36"/>
  <c r="I104" i="55"/>
  <c r="I115" i="55" s="1"/>
  <c r="I117" i="55" s="1"/>
  <c r="I143" i="55" s="1"/>
  <c r="I99" i="52"/>
  <c r="I102" i="52"/>
  <c r="I99" i="36"/>
  <c r="I103" i="36"/>
  <c r="I140" i="36"/>
  <c r="I98" i="36"/>
  <c r="I42" i="36"/>
  <c r="I41" i="36"/>
  <c r="I101" i="52"/>
  <c r="I41" i="52"/>
  <c r="I103" i="52"/>
  <c r="I98" i="52"/>
  <c r="I42" i="52"/>
  <c r="I100" i="54"/>
  <c r="I98" i="54"/>
  <c r="I99" i="54"/>
  <c r="I140" i="54"/>
  <c r="I101" i="54"/>
  <c r="I42" i="54"/>
  <c r="I103" i="54"/>
  <c r="I78" i="55"/>
  <c r="I87" i="55"/>
  <c r="I99" i="48"/>
  <c r="I100" i="48"/>
  <c r="I98" i="48"/>
  <c r="I102" i="48"/>
  <c r="I103" i="48"/>
  <c r="I101" i="48"/>
  <c r="I41" i="48"/>
  <c r="I43" i="48" s="1"/>
  <c r="I140" i="48"/>
  <c r="G41" i="45"/>
  <c r="G100" i="45"/>
  <c r="G98" i="45"/>
  <c r="G99" i="45"/>
  <c r="G101" i="45"/>
  <c r="G102" i="45"/>
  <c r="G103" i="45"/>
  <c r="G42" i="45"/>
  <c r="I35" i="57"/>
  <c r="I100" i="43"/>
  <c r="I41" i="43"/>
  <c r="I140" i="43"/>
  <c r="I102" i="43"/>
  <c r="I98" i="43"/>
  <c r="I101" i="43"/>
  <c r="I42" i="43"/>
  <c r="I99" i="43"/>
  <c r="I103" i="43"/>
  <c r="I140" i="56"/>
  <c r="I41" i="56"/>
  <c r="I101" i="56"/>
  <c r="I98" i="56"/>
  <c r="I103" i="56"/>
  <c r="I42" i="56"/>
  <c r="I99" i="56"/>
  <c r="I100" i="56"/>
  <c r="I102" i="56"/>
  <c r="I140" i="37"/>
  <c r="I100" i="37"/>
  <c r="I102" i="37"/>
  <c r="I98" i="37"/>
  <c r="I41" i="37"/>
  <c r="I103" i="37"/>
  <c r="I101" i="37"/>
  <c r="I42" i="37"/>
  <c r="I99" i="37"/>
  <c r="I100" i="14"/>
  <c r="I98" i="14"/>
  <c r="I42" i="14"/>
  <c r="I41" i="14"/>
  <c r="I102" i="14"/>
  <c r="I103" i="14"/>
  <c r="I99" i="14"/>
  <c r="I101" i="14"/>
  <c r="G66" i="14"/>
  <c r="I58" i="45" l="1"/>
  <c r="I79" i="45" s="1"/>
  <c r="I81" i="45" s="1"/>
  <c r="I141" i="45" s="1"/>
  <c r="I145" i="45" s="1"/>
  <c r="I91" i="45"/>
  <c r="I142" i="45" s="1"/>
  <c r="I54" i="55"/>
  <c r="I53" i="55"/>
  <c r="I43" i="54"/>
  <c r="I85" i="54" s="1"/>
  <c r="I43" i="37"/>
  <c r="I78" i="37" s="1"/>
  <c r="I43" i="36"/>
  <c r="I89" i="36" s="1"/>
  <c r="I52" i="55"/>
  <c r="I86" i="55"/>
  <c r="I88" i="55"/>
  <c r="I85" i="55"/>
  <c r="I57" i="55"/>
  <c r="I56" i="55"/>
  <c r="I50" i="55"/>
  <c r="I51" i="55"/>
  <c r="I55" i="55"/>
  <c r="I86" i="54"/>
  <c r="I104" i="52"/>
  <c r="I115" i="52" s="1"/>
  <c r="I117" i="52" s="1"/>
  <c r="I143" i="52" s="1"/>
  <c r="I104" i="36"/>
  <c r="I115" i="36" s="1"/>
  <c r="I117" i="36" s="1"/>
  <c r="I85" i="36"/>
  <c r="I87" i="36"/>
  <c r="I43" i="52"/>
  <c r="I53" i="52" s="1"/>
  <c r="I87" i="54"/>
  <c r="I78" i="54"/>
  <c r="I104" i="54"/>
  <c r="I115" i="54" s="1"/>
  <c r="I117" i="54" s="1"/>
  <c r="I104" i="48"/>
  <c r="I115" i="48" s="1"/>
  <c r="I117" i="48" s="1"/>
  <c r="I52" i="48" s="1"/>
  <c r="I78" i="48"/>
  <c r="I87" i="48"/>
  <c r="I88" i="48"/>
  <c r="I86" i="48"/>
  <c r="I85" i="48"/>
  <c r="G104" i="45"/>
  <c r="G115" i="45" s="1"/>
  <c r="G117" i="45" s="1"/>
  <c r="G43" i="45"/>
  <c r="I100" i="57"/>
  <c r="I41" i="57"/>
  <c r="I140" i="57"/>
  <c r="I98" i="57"/>
  <c r="I99" i="57"/>
  <c r="I42" i="57"/>
  <c r="I104" i="43"/>
  <c r="I115" i="43" s="1"/>
  <c r="I117" i="43" s="1"/>
  <c r="I143" i="43" s="1"/>
  <c r="I43" i="43"/>
  <c r="I43" i="56"/>
  <c r="I104" i="56"/>
  <c r="I115" i="56" s="1"/>
  <c r="I117" i="56" s="1"/>
  <c r="I143" i="56" s="1"/>
  <c r="I104" i="37"/>
  <c r="I115" i="37" s="1"/>
  <c r="I117" i="37" s="1"/>
  <c r="I143" i="37" s="1"/>
  <c r="I104" i="14"/>
  <c r="I115" i="14" s="1"/>
  <c r="I117" i="14" s="1"/>
  <c r="I143" i="14" s="1"/>
  <c r="I43" i="14"/>
  <c r="F331" i="64"/>
  <c r="F330" i="64"/>
  <c r="F329" i="64"/>
  <c r="F328" i="64"/>
  <c r="F327" i="64"/>
  <c r="F326" i="64"/>
  <c r="F325" i="64"/>
  <c r="F324" i="64"/>
  <c r="F321" i="64"/>
  <c r="F320" i="64"/>
  <c r="F319" i="64"/>
  <c r="F318" i="64"/>
  <c r="F316" i="64"/>
  <c r="F315" i="64"/>
  <c r="F314" i="64"/>
  <c r="F313" i="64"/>
  <c r="F312" i="64"/>
  <c r="F311" i="64"/>
  <c r="F310" i="64"/>
  <c r="F309" i="64"/>
  <c r="F308" i="64"/>
  <c r="F307" i="64"/>
  <c r="F306" i="64"/>
  <c r="F305" i="64"/>
  <c r="F304" i="64"/>
  <c r="F303" i="64"/>
  <c r="F302" i="64"/>
  <c r="F301" i="64"/>
  <c r="F300" i="64"/>
  <c r="F299" i="64"/>
  <c r="F298" i="64"/>
  <c r="F297" i="64"/>
  <c r="F294" i="64"/>
  <c r="F295" i="64" s="1"/>
  <c r="F293" i="64"/>
  <c r="F292" i="64"/>
  <c r="F291" i="64"/>
  <c r="F288" i="64"/>
  <c r="F287" i="64"/>
  <c r="F286" i="64"/>
  <c r="F285" i="64"/>
  <c r="F284" i="64"/>
  <c r="F283" i="64"/>
  <c r="F282" i="64"/>
  <c r="F281" i="64"/>
  <c r="F280" i="64"/>
  <c r="F279" i="64"/>
  <c r="F278" i="64"/>
  <c r="F277" i="64"/>
  <c r="F276" i="64"/>
  <c r="F275" i="64"/>
  <c r="F274" i="64"/>
  <c r="F273" i="64"/>
  <c r="F270" i="64"/>
  <c r="F269" i="64"/>
  <c r="F268" i="64"/>
  <c r="F267" i="64"/>
  <c r="F266" i="64"/>
  <c r="F265" i="64"/>
  <c r="F264" i="64"/>
  <c r="F263" i="64"/>
  <c r="F262" i="64"/>
  <c r="F261" i="64"/>
  <c r="F260" i="64"/>
  <c r="F259" i="64"/>
  <c r="F258" i="64"/>
  <c r="F257" i="64"/>
  <c r="F256" i="64"/>
  <c r="F255" i="64"/>
  <c r="F254" i="64"/>
  <c r="F253" i="64"/>
  <c r="F252" i="64"/>
  <c r="F251" i="64"/>
  <c r="F250" i="64"/>
  <c r="F249" i="64"/>
  <c r="F248" i="64"/>
  <c r="F247" i="64"/>
  <c r="F246" i="64"/>
  <c r="F245" i="64"/>
  <c r="F244" i="64"/>
  <c r="F243" i="64"/>
  <c r="F242" i="64"/>
  <c r="F241" i="64"/>
  <c r="F240" i="64"/>
  <c r="F239" i="64"/>
  <c r="F238" i="64"/>
  <c r="F237" i="64"/>
  <c r="F236" i="64"/>
  <c r="F235" i="64"/>
  <c r="F234" i="64"/>
  <c r="F233" i="64"/>
  <c r="F232" i="64"/>
  <c r="F231" i="64"/>
  <c r="F230" i="64"/>
  <c r="F229" i="64"/>
  <c r="F228" i="64"/>
  <c r="F227" i="64"/>
  <c r="F226" i="64"/>
  <c r="F225" i="64"/>
  <c r="F224" i="64"/>
  <c r="F223" i="64"/>
  <c r="F222" i="64"/>
  <c r="F221" i="64"/>
  <c r="F220" i="64"/>
  <c r="F219" i="64"/>
  <c r="F218" i="64"/>
  <c r="F217" i="64"/>
  <c r="F216" i="64"/>
  <c r="F215" i="64"/>
  <c r="F214" i="64"/>
  <c r="F213" i="64"/>
  <c r="F212" i="64"/>
  <c r="F211" i="64"/>
  <c r="F210" i="64"/>
  <c r="F209" i="64"/>
  <c r="F208" i="64"/>
  <c r="F207" i="64"/>
  <c r="F206" i="64"/>
  <c r="F205" i="64"/>
  <c r="F204" i="64"/>
  <c r="F203" i="64"/>
  <c r="F202" i="64"/>
  <c r="F201" i="64"/>
  <c r="F200" i="64"/>
  <c r="F199" i="64"/>
  <c r="F198" i="64"/>
  <c r="F197" i="64"/>
  <c r="F196" i="64"/>
  <c r="F195" i="64"/>
  <c r="F194" i="64"/>
  <c r="F193" i="64"/>
  <c r="F192" i="64"/>
  <c r="F191" i="64"/>
  <c r="F190" i="64"/>
  <c r="F189" i="64"/>
  <c r="F188" i="64"/>
  <c r="F187" i="64"/>
  <c r="F186" i="64"/>
  <c r="F185" i="64"/>
  <c r="F184" i="64"/>
  <c r="F183" i="64"/>
  <c r="F182" i="64"/>
  <c r="F181" i="64"/>
  <c r="F178" i="64"/>
  <c r="F177" i="64"/>
  <c r="F176" i="64"/>
  <c r="F175" i="64"/>
  <c r="F174" i="64"/>
  <c r="F173" i="64"/>
  <c r="F172" i="64"/>
  <c r="F171" i="64"/>
  <c r="F170" i="64"/>
  <c r="F169" i="64"/>
  <c r="F168" i="64"/>
  <c r="F167" i="64"/>
  <c r="F166" i="64"/>
  <c r="F165" i="64"/>
  <c r="F164" i="64"/>
  <c r="F179" i="64" s="1"/>
  <c r="F8" i="64"/>
  <c r="F9" i="64"/>
  <c r="F10" i="64"/>
  <c r="F11" i="64"/>
  <c r="F12" i="64"/>
  <c r="F13" i="64"/>
  <c r="F14" i="64"/>
  <c r="F15" i="64"/>
  <c r="F16" i="64"/>
  <c r="F17" i="64"/>
  <c r="F18" i="64"/>
  <c r="F19" i="64"/>
  <c r="F20" i="64"/>
  <c r="F21" i="64"/>
  <c r="F22" i="64"/>
  <c r="F23" i="64"/>
  <c r="F24" i="64"/>
  <c r="F25" i="64"/>
  <c r="F26" i="64"/>
  <c r="F27" i="64"/>
  <c r="F28" i="64"/>
  <c r="F29" i="64"/>
  <c r="F30" i="64"/>
  <c r="F31" i="64"/>
  <c r="F32" i="64"/>
  <c r="F33" i="64"/>
  <c r="F34" i="64"/>
  <c r="F35" i="64"/>
  <c r="F36" i="64"/>
  <c r="F37" i="64"/>
  <c r="F38" i="64"/>
  <c r="F39" i="64"/>
  <c r="F40" i="64"/>
  <c r="F41" i="64"/>
  <c r="F42" i="64"/>
  <c r="F43" i="64"/>
  <c r="F44" i="64"/>
  <c r="F45" i="64"/>
  <c r="F46" i="64"/>
  <c r="F47" i="64"/>
  <c r="F48" i="64"/>
  <c r="F49" i="64"/>
  <c r="F50" i="64"/>
  <c r="F51" i="64"/>
  <c r="F52" i="64"/>
  <c r="F53" i="64"/>
  <c r="F54" i="64"/>
  <c r="F55" i="64"/>
  <c r="F56" i="64"/>
  <c r="F57" i="64"/>
  <c r="F58" i="64"/>
  <c r="F59" i="64"/>
  <c r="F60" i="64"/>
  <c r="F61" i="64"/>
  <c r="F62" i="64"/>
  <c r="F63" i="64"/>
  <c r="F64" i="64"/>
  <c r="F65" i="64"/>
  <c r="F66" i="64"/>
  <c r="F67" i="64"/>
  <c r="F68" i="64"/>
  <c r="F69" i="64"/>
  <c r="F70" i="64"/>
  <c r="F71" i="64"/>
  <c r="F72" i="64"/>
  <c r="F73" i="64"/>
  <c r="F74" i="64"/>
  <c r="F75" i="64"/>
  <c r="F76" i="64"/>
  <c r="F77" i="64"/>
  <c r="F78" i="64"/>
  <c r="F79" i="64"/>
  <c r="F80" i="64"/>
  <c r="F81" i="64"/>
  <c r="F82" i="64"/>
  <c r="F83" i="64"/>
  <c r="F84" i="64"/>
  <c r="F85" i="64"/>
  <c r="F86" i="64"/>
  <c r="F87" i="64"/>
  <c r="F88" i="64"/>
  <c r="F89" i="64"/>
  <c r="F90" i="64"/>
  <c r="F91" i="64"/>
  <c r="F92" i="64"/>
  <c r="F93" i="64"/>
  <c r="F94" i="64"/>
  <c r="F95" i="64"/>
  <c r="F96" i="64"/>
  <c r="F97" i="64"/>
  <c r="F98" i="64"/>
  <c r="F99" i="64"/>
  <c r="F100" i="64"/>
  <c r="F101" i="64"/>
  <c r="F102" i="64"/>
  <c r="F103" i="64"/>
  <c r="F104" i="64"/>
  <c r="F105" i="64"/>
  <c r="F106" i="64"/>
  <c r="F107" i="64"/>
  <c r="F108" i="64"/>
  <c r="F109" i="64"/>
  <c r="F110" i="64"/>
  <c r="F111" i="64"/>
  <c r="F112" i="64"/>
  <c r="F113" i="64"/>
  <c r="F114" i="64"/>
  <c r="F115" i="64"/>
  <c r="F116" i="64"/>
  <c r="F117" i="64"/>
  <c r="F118" i="64"/>
  <c r="F119" i="64"/>
  <c r="F120" i="64"/>
  <c r="F121" i="64"/>
  <c r="F122" i="64"/>
  <c r="F123" i="64"/>
  <c r="F124" i="64"/>
  <c r="F125" i="64"/>
  <c r="F126" i="64"/>
  <c r="F127" i="64"/>
  <c r="F128" i="64"/>
  <c r="F129" i="64"/>
  <c r="F130" i="64"/>
  <c r="F131" i="64"/>
  <c r="F132" i="64"/>
  <c r="F133" i="64"/>
  <c r="F134" i="64"/>
  <c r="F135" i="64"/>
  <c r="F136" i="64"/>
  <c r="F137" i="64"/>
  <c r="F138" i="64"/>
  <c r="F139" i="64"/>
  <c r="F140" i="64"/>
  <c r="F141" i="64"/>
  <c r="F142" i="64"/>
  <c r="F143" i="64"/>
  <c r="F144" i="64"/>
  <c r="F145" i="64"/>
  <c r="F146" i="64"/>
  <c r="F147" i="64"/>
  <c r="F148" i="64"/>
  <c r="F149" i="64"/>
  <c r="F150" i="64"/>
  <c r="F151" i="64"/>
  <c r="F152" i="64"/>
  <c r="F153" i="64"/>
  <c r="F154" i="64"/>
  <c r="F155" i="64"/>
  <c r="F156" i="64"/>
  <c r="F157" i="64"/>
  <c r="F158" i="64"/>
  <c r="F159" i="64"/>
  <c r="F160" i="64"/>
  <c r="F161" i="64"/>
  <c r="F7" i="64"/>
  <c r="F6" i="64"/>
  <c r="E132" i="48"/>
  <c r="E131" i="48"/>
  <c r="E130" i="48"/>
  <c r="E132" i="52"/>
  <c r="E131" i="52"/>
  <c r="E130" i="52"/>
  <c r="E132" i="37"/>
  <c r="E131" i="37"/>
  <c r="E130" i="37"/>
  <c r="E132" i="57"/>
  <c r="E131" i="57"/>
  <c r="E130" i="57"/>
  <c r="E132" i="43"/>
  <c r="E131" i="43"/>
  <c r="E130" i="43"/>
  <c r="E132" i="54"/>
  <c r="E131" i="54"/>
  <c r="E130" i="54"/>
  <c r="E131" i="55"/>
  <c r="E130" i="55"/>
  <c r="E131" i="56"/>
  <c r="E130" i="56"/>
  <c r="E131" i="45"/>
  <c r="E130" i="45"/>
  <c r="G130" i="45" s="1"/>
  <c r="E131" i="36"/>
  <c r="E130" i="36"/>
  <c r="E131" i="14"/>
  <c r="E130" i="14"/>
  <c r="G131" i="45" l="1"/>
  <c r="I130" i="45"/>
  <c r="I131" i="45" s="1"/>
  <c r="I147" i="45" s="1"/>
  <c r="I53" i="54"/>
  <c r="I88" i="54"/>
  <c r="I52" i="52"/>
  <c r="I88" i="52"/>
  <c r="I88" i="37"/>
  <c r="I87" i="37"/>
  <c r="I85" i="37"/>
  <c r="I86" i="37"/>
  <c r="I78" i="36"/>
  <c r="I86" i="36"/>
  <c r="I57" i="36"/>
  <c r="I87" i="52"/>
  <c r="I78" i="52"/>
  <c r="I51" i="36"/>
  <c r="I52" i="36"/>
  <c r="I53" i="36"/>
  <c r="I143" i="36"/>
  <c r="I50" i="36"/>
  <c r="I56" i="36"/>
  <c r="I54" i="36"/>
  <c r="I58" i="55"/>
  <c r="I79" i="55" s="1"/>
  <c r="I81" i="55" s="1"/>
  <c r="I85" i="52"/>
  <c r="I57" i="52"/>
  <c r="I50" i="52"/>
  <c r="I57" i="48"/>
  <c r="I55" i="48"/>
  <c r="I56" i="48"/>
  <c r="I56" i="52"/>
  <c r="I54" i="52"/>
  <c r="I55" i="52"/>
  <c r="I55" i="36"/>
  <c r="I51" i="37"/>
  <c r="I55" i="37"/>
  <c r="I57" i="37"/>
  <c r="I86" i="52"/>
  <c r="I51" i="52"/>
  <c r="I57" i="54"/>
  <c r="I50" i="54"/>
  <c r="I143" i="54"/>
  <c r="I56" i="54"/>
  <c r="I55" i="54"/>
  <c r="I51" i="54"/>
  <c r="I52" i="54"/>
  <c r="I54" i="54"/>
  <c r="I43" i="57"/>
  <c r="I86" i="57" s="1"/>
  <c r="I54" i="48"/>
  <c r="I53" i="48"/>
  <c r="I50" i="48"/>
  <c r="I143" i="48"/>
  <c r="I51" i="48"/>
  <c r="G85" i="45"/>
  <c r="G50" i="45"/>
  <c r="G56" i="45"/>
  <c r="G55" i="45"/>
  <c r="G57" i="45"/>
  <c r="G52" i="45"/>
  <c r="G51" i="45"/>
  <c r="G87" i="45"/>
  <c r="G89" i="45"/>
  <c r="G53" i="45"/>
  <c r="G54" i="45"/>
  <c r="G86" i="45"/>
  <c r="I78" i="43"/>
  <c r="I52" i="43"/>
  <c r="I50" i="43"/>
  <c r="I85" i="43"/>
  <c r="I55" i="43"/>
  <c r="I53" i="43"/>
  <c r="I86" i="43"/>
  <c r="I87" i="43"/>
  <c r="I56" i="43"/>
  <c r="I88" i="43"/>
  <c r="I51" i="43"/>
  <c r="I54" i="43"/>
  <c r="I57" i="43"/>
  <c r="I78" i="56"/>
  <c r="I85" i="56"/>
  <c r="I57" i="56"/>
  <c r="I53" i="56"/>
  <c r="I52" i="56"/>
  <c r="I87" i="56"/>
  <c r="I55" i="56"/>
  <c r="I54" i="56"/>
  <c r="I51" i="56"/>
  <c r="I50" i="56"/>
  <c r="I86" i="56"/>
  <c r="I89" i="56"/>
  <c r="I56" i="56"/>
  <c r="I50" i="37"/>
  <c r="I56" i="37"/>
  <c r="I52" i="37"/>
  <c r="I54" i="37"/>
  <c r="I53" i="37"/>
  <c r="E135" i="57"/>
  <c r="E135" i="54"/>
  <c r="I78" i="14"/>
  <c r="I90" i="14"/>
  <c r="I85" i="14"/>
  <c r="I53" i="14"/>
  <c r="I51" i="14"/>
  <c r="I86" i="14"/>
  <c r="I88" i="14"/>
  <c r="I54" i="14"/>
  <c r="I55" i="14"/>
  <c r="I52" i="14"/>
  <c r="I57" i="14"/>
  <c r="I87" i="14"/>
  <c r="I50" i="14"/>
  <c r="I89" i="14"/>
  <c r="I56" i="14"/>
  <c r="F162" i="64"/>
  <c r="F271" i="64"/>
  <c r="F289" i="64"/>
  <c r="F332" i="64"/>
  <c r="C67" i="29" l="1"/>
  <c r="E67" i="29" s="1"/>
  <c r="G67" i="29" s="1"/>
  <c r="G84" i="29" s="1"/>
  <c r="C110" i="29"/>
  <c r="E110" i="29" s="1"/>
  <c r="G110" i="29" s="1"/>
  <c r="G127" i="29" s="1"/>
  <c r="I133" i="45"/>
  <c r="I134" i="45"/>
  <c r="I141" i="55"/>
  <c r="I58" i="52"/>
  <c r="I79" i="52" s="1"/>
  <c r="I81" i="52" s="1"/>
  <c r="I87" i="57"/>
  <c r="I58" i="36"/>
  <c r="I79" i="36" s="1"/>
  <c r="I81" i="36" s="1"/>
  <c r="I58" i="48"/>
  <c r="I79" i="48" s="1"/>
  <c r="I81" i="48" s="1"/>
  <c r="I58" i="54"/>
  <c r="I79" i="54" s="1"/>
  <c r="I81" i="54" s="1"/>
  <c r="I58" i="56"/>
  <c r="I79" i="56" s="1"/>
  <c r="I81" i="56" s="1"/>
  <c r="I78" i="57"/>
  <c r="I88" i="57"/>
  <c r="I85" i="57"/>
  <c r="G58" i="45"/>
  <c r="I58" i="43"/>
  <c r="I79" i="43" s="1"/>
  <c r="I81" i="43" s="1"/>
  <c r="I58" i="37"/>
  <c r="I79" i="37" s="1"/>
  <c r="I81" i="37" s="1"/>
  <c r="I91" i="14"/>
  <c r="I142" i="14" s="1"/>
  <c r="I58" i="14"/>
  <c r="I79" i="14" s="1"/>
  <c r="I81" i="14" s="1"/>
  <c r="I141" i="14" s="1"/>
  <c r="J8" i="16"/>
  <c r="I141" i="48" l="1"/>
  <c r="I141" i="52"/>
  <c r="I141" i="36"/>
  <c r="I141" i="54"/>
  <c r="I141" i="43"/>
  <c r="I141" i="56"/>
  <c r="I141" i="37"/>
  <c r="I130" i="14"/>
  <c r="I131" i="14" s="1"/>
  <c r="F25" i="29"/>
  <c r="F98" i="14"/>
  <c r="F103" i="48" l="1"/>
  <c r="F102" i="48"/>
  <c r="F101" i="48"/>
  <c r="F100" i="48"/>
  <c r="F99" i="48"/>
  <c r="F98" i="48"/>
  <c r="F103" i="52"/>
  <c r="F102" i="52"/>
  <c r="F101" i="52"/>
  <c r="F100" i="52"/>
  <c r="F99" i="52"/>
  <c r="F98" i="52"/>
  <c r="F103" i="37"/>
  <c r="F102" i="37"/>
  <c r="F101" i="37"/>
  <c r="F100" i="37"/>
  <c r="F99" i="37"/>
  <c r="F98" i="37"/>
  <c r="F25" i="37"/>
  <c r="F103" i="57"/>
  <c r="F102" i="57"/>
  <c r="F100" i="57"/>
  <c r="F99" i="57"/>
  <c r="F98" i="57"/>
  <c r="F103" i="43"/>
  <c r="F102" i="43"/>
  <c r="F101" i="43"/>
  <c r="F100" i="43"/>
  <c r="F99" i="43"/>
  <c r="F98" i="43"/>
  <c r="F103" i="54"/>
  <c r="F102" i="54"/>
  <c r="F101" i="54"/>
  <c r="F100" i="54"/>
  <c r="F99" i="54"/>
  <c r="F98" i="54"/>
  <c r="F103" i="55"/>
  <c r="F102" i="55"/>
  <c r="F101" i="55"/>
  <c r="F100" i="55"/>
  <c r="F99" i="55"/>
  <c r="F98" i="55"/>
  <c r="F103" i="56"/>
  <c r="F102" i="56"/>
  <c r="F101" i="56"/>
  <c r="F100" i="56"/>
  <c r="F99" i="56"/>
  <c r="F98" i="56"/>
  <c r="F104" i="55" l="1"/>
  <c r="F104" i="43"/>
  <c r="F104" i="52"/>
  <c r="F104" i="54"/>
  <c r="F104" i="56"/>
  <c r="F98" i="36" l="1"/>
  <c r="F100" i="14" l="1"/>
  <c r="E8" i="16"/>
  <c r="E9" i="16"/>
  <c r="H32" i="16"/>
  <c r="E32" i="16"/>
  <c r="H31" i="16"/>
  <c r="E31" i="16"/>
  <c r="H30" i="16"/>
  <c r="E30" i="16"/>
  <c r="H29" i="16"/>
  <c r="E29" i="16"/>
  <c r="H28" i="16"/>
  <c r="E28" i="16"/>
  <c r="H27" i="16"/>
  <c r="E27" i="16"/>
  <c r="H26" i="16"/>
  <c r="E26" i="16"/>
  <c r="H25" i="16"/>
  <c r="E25" i="16"/>
  <c r="H24" i="16"/>
  <c r="E24" i="16"/>
  <c r="H23" i="16"/>
  <c r="E23" i="16"/>
  <c r="H22" i="16"/>
  <c r="E22" i="16"/>
  <c r="H21" i="16"/>
  <c r="E21" i="16"/>
  <c r="H20" i="16"/>
  <c r="E20" i="16"/>
  <c r="H19" i="16"/>
  <c r="E19" i="16"/>
  <c r="H18" i="16"/>
  <c r="E18" i="16"/>
  <c r="H17" i="16"/>
  <c r="E17" i="16"/>
  <c r="H16" i="16"/>
  <c r="E16" i="16"/>
  <c r="H15" i="16"/>
  <c r="E15" i="16"/>
  <c r="H14" i="16"/>
  <c r="E14" i="16"/>
  <c r="H13" i="16"/>
  <c r="E13" i="16"/>
  <c r="H12" i="16"/>
  <c r="E12" i="16"/>
  <c r="H11" i="16"/>
  <c r="E11" i="16"/>
  <c r="H10" i="16"/>
  <c r="E10" i="16"/>
  <c r="H9" i="16"/>
  <c r="H8" i="16"/>
  <c r="F36" i="16"/>
  <c r="E33" i="16" l="1"/>
  <c r="J23" i="16"/>
  <c r="J18" i="16"/>
  <c r="G121" i="52" s="1"/>
  <c r="J13" i="16"/>
  <c r="J28" i="16"/>
  <c r="G121" i="48" s="1"/>
  <c r="G121" i="37" l="1"/>
  <c r="J33" i="16"/>
  <c r="G121" i="54"/>
  <c r="G121" i="55"/>
  <c r="G121" i="57"/>
  <c r="G121" i="56"/>
  <c r="G121" i="43"/>
  <c r="G121" i="36"/>
  <c r="F42" i="14"/>
  <c r="F99" i="14"/>
  <c r="E132" i="14" l="1"/>
  <c r="E135" i="14" l="1"/>
  <c r="D317" i="64"/>
  <c r="F317" i="64" s="1"/>
  <c r="F322" i="64" s="1"/>
  <c r="F333" i="64" s="1"/>
  <c r="C317" i="64"/>
  <c r="C64" i="64"/>
  <c r="C62" i="64"/>
  <c r="C61" i="64" s="1"/>
  <c r="C60" i="64" s="1"/>
  <c r="C59" i="64" s="1"/>
  <c r="F334" i="64" l="1"/>
  <c r="F335" i="64" s="1"/>
  <c r="F99" i="36"/>
  <c r="F100" i="36"/>
  <c r="F101" i="36"/>
  <c r="F102" i="36"/>
  <c r="F103" i="36"/>
  <c r="F337" i="64" l="1"/>
  <c r="E50" i="29" s="1"/>
  <c r="F50" i="29" s="1"/>
  <c r="F336" i="64"/>
  <c r="F104" i="48"/>
  <c r="F104" i="36"/>
  <c r="F104" i="57"/>
  <c r="F104" i="37"/>
  <c r="F33" i="61" l="1"/>
  <c r="F34" i="61"/>
  <c r="F35" i="61"/>
  <c r="F36" i="61"/>
  <c r="F42" i="36" l="1"/>
  <c r="F42" i="48" l="1"/>
  <c r="F43" i="48" l="1"/>
  <c r="F6" i="61"/>
  <c r="F7" i="61"/>
  <c r="F8" i="61"/>
  <c r="F9" i="61"/>
  <c r="F10" i="61"/>
  <c r="F11" i="61"/>
  <c r="F12" i="61"/>
  <c r="F13" i="61"/>
  <c r="F14" i="61"/>
  <c r="F15" i="61"/>
  <c r="F16" i="61"/>
  <c r="F17" i="61"/>
  <c r="F18" i="61"/>
  <c r="F19" i="61"/>
  <c r="F20" i="61"/>
  <c r="F21" i="61"/>
  <c r="F22" i="61"/>
  <c r="F23" i="61"/>
  <c r="F24" i="61"/>
  <c r="F25" i="61"/>
  <c r="F26" i="61"/>
  <c r="F27" i="61"/>
  <c r="F28" i="61"/>
  <c r="F29" i="61"/>
  <c r="F30" i="61"/>
  <c r="F31" i="61"/>
  <c r="F32" i="61"/>
  <c r="F37" i="61"/>
  <c r="F38" i="61"/>
  <c r="F39" i="61"/>
  <c r="F40" i="61"/>
  <c r="F41" i="61"/>
  <c r="F42" i="61"/>
  <c r="F43" i="61"/>
  <c r="F44" i="61"/>
  <c r="F45" i="61"/>
  <c r="F46" i="61"/>
  <c r="F47" i="61"/>
  <c r="F48" i="61"/>
  <c r="F49" i="61"/>
  <c r="F50" i="61"/>
  <c r="F51" i="61"/>
  <c r="F52" i="61"/>
  <c r="F53" i="61"/>
  <c r="F54" i="61"/>
  <c r="F55" i="61"/>
  <c r="F56" i="61"/>
  <c r="F57" i="61"/>
  <c r="F58" i="61"/>
  <c r="F59" i="61"/>
  <c r="F60" i="61"/>
  <c r="F61" i="61"/>
  <c r="F62" i="61"/>
  <c r="F63" i="61"/>
  <c r="F64" i="61"/>
  <c r="F65" i="61"/>
  <c r="F66" i="61"/>
  <c r="F67" i="61"/>
  <c r="F68" i="61"/>
  <c r="F69" i="61"/>
  <c r="F70" i="61"/>
  <c r="F71" i="61"/>
  <c r="F72" i="61"/>
  <c r="F73" i="61"/>
  <c r="F74" i="61"/>
  <c r="F75" i="61"/>
  <c r="F76" i="61"/>
  <c r="F77" i="61"/>
  <c r="F78" i="61"/>
  <c r="F79" i="61"/>
  <c r="F80" i="61"/>
  <c r="F81" i="61"/>
  <c r="F82" i="61"/>
  <c r="F83" i="61"/>
  <c r="F84" i="61"/>
  <c r="F85" i="61"/>
  <c r="F86" i="61"/>
  <c r="F87" i="61"/>
  <c r="F88" i="61"/>
  <c r="F89" i="61"/>
  <c r="F90" i="61"/>
  <c r="F91" i="61"/>
  <c r="F92" i="61"/>
  <c r="F93" i="61"/>
  <c r="F94" i="61"/>
  <c r="F95" i="61"/>
  <c r="F96" i="61"/>
  <c r="F97" i="61"/>
  <c r="F98" i="61"/>
  <c r="F99" i="61"/>
  <c r="F100" i="61"/>
  <c r="F101" i="61"/>
  <c r="F102" i="61"/>
  <c r="F103" i="61"/>
  <c r="F104" i="61"/>
  <c r="F105" i="61"/>
  <c r="F106" i="61"/>
  <c r="F107" i="61"/>
  <c r="F5" i="61"/>
  <c r="F108" i="61" l="1"/>
  <c r="F109" i="61" s="1"/>
  <c r="F110" i="61" s="1"/>
  <c r="F25" i="48"/>
  <c r="B24" i="29"/>
  <c r="B23" i="29"/>
  <c r="B40" i="29" s="1"/>
  <c r="B22" i="29"/>
  <c r="B39" i="29" s="1"/>
  <c r="B21" i="29"/>
  <c r="B20" i="29"/>
  <c r="B19" i="29"/>
  <c r="B18" i="29"/>
  <c r="B17" i="29"/>
  <c r="B15" i="29"/>
  <c r="F42" i="57"/>
  <c r="F42" i="43"/>
  <c r="F88" i="57"/>
  <c r="F87" i="57"/>
  <c r="F86" i="57"/>
  <c r="G66" i="57"/>
  <c r="F58" i="57"/>
  <c r="F35" i="57"/>
  <c r="G29" i="57"/>
  <c r="F25" i="57"/>
  <c r="G66" i="43"/>
  <c r="F25" i="43"/>
  <c r="E132" i="56"/>
  <c r="E135" i="56" s="1"/>
  <c r="F88" i="56"/>
  <c r="F87" i="56"/>
  <c r="F86" i="56"/>
  <c r="G66" i="56"/>
  <c r="F58" i="56"/>
  <c r="F89" i="56" s="1"/>
  <c r="F42" i="56"/>
  <c r="F43" i="56" s="1"/>
  <c r="F35" i="56"/>
  <c r="G29" i="56"/>
  <c r="G65" i="56" s="1"/>
  <c r="G72" i="56" s="1"/>
  <c r="G80" i="56" s="1"/>
  <c r="F25" i="56"/>
  <c r="E132" i="55"/>
  <c r="E135" i="55" s="1"/>
  <c r="F88" i="55"/>
  <c r="F87" i="55"/>
  <c r="F86" i="55"/>
  <c r="G66" i="55"/>
  <c r="F42" i="55"/>
  <c r="F43" i="55" s="1"/>
  <c r="F35" i="55"/>
  <c r="G29" i="55"/>
  <c r="G65" i="55" s="1"/>
  <c r="F25" i="55"/>
  <c r="F88" i="54"/>
  <c r="F87" i="54"/>
  <c r="F86" i="54"/>
  <c r="G66" i="54"/>
  <c r="F58" i="54"/>
  <c r="F89" i="54" s="1"/>
  <c r="F42" i="54"/>
  <c r="F43" i="54" s="1"/>
  <c r="F35" i="54"/>
  <c r="G29" i="54"/>
  <c r="G30" i="54" s="1"/>
  <c r="F25" i="54"/>
  <c r="G66" i="52"/>
  <c r="G29" i="52"/>
  <c r="F89" i="57" l="1"/>
  <c r="G72" i="55"/>
  <c r="G80" i="55" s="1"/>
  <c r="G65" i="52"/>
  <c r="G30" i="52"/>
  <c r="G123" i="55"/>
  <c r="G123" i="36"/>
  <c r="G123" i="56"/>
  <c r="G123" i="57"/>
  <c r="G123" i="54"/>
  <c r="G123" i="14"/>
  <c r="G123" i="37"/>
  <c r="G123" i="43"/>
  <c r="G123" i="52"/>
  <c r="G123" i="48"/>
  <c r="G30" i="57"/>
  <c r="G31" i="57" s="1"/>
  <c r="F89" i="55"/>
  <c r="G65" i="57"/>
  <c r="G72" i="57" s="1"/>
  <c r="G80" i="57" s="1"/>
  <c r="F90" i="57"/>
  <c r="F90" i="56"/>
  <c r="F115" i="56"/>
  <c r="F90" i="54"/>
  <c r="F43" i="57"/>
  <c r="F115" i="57"/>
  <c r="G30" i="56"/>
  <c r="G31" i="56" s="1"/>
  <c r="G32" i="56" s="1"/>
  <c r="G33" i="56" s="1"/>
  <c r="F115" i="55"/>
  <c r="F90" i="55"/>
  <c r="G65" i="54"/>
  <c r="G72" i="54" s="1"/>
  <c r="G80" i="54" s="1"/>
  <c r="G31" i="54"/>
  <c r="G32" i="54" s="1"/>
  <c r="G33" i="54" s="1"/>
  <c r="F115" i="54"/>
  <c r="F91" i="56" l="1"/>
  <c r="G32" i="57"/>
  <c r="G33" i="57" s="1"/>
  <c r="F91" i="57"/>
  <c r="G35" i="56"/>
  <c r="F91" i="54"/>
  <c r="G35" i="55"/>
  <c r="F91" i="55"/>
  <c r="G35" i="54"/>
  <c r="G41" i="55" l="1"/>
  <c r="G35" i="57"/>
  <c r="G140" i="55"/>
  <c r="G140" i="54"/>
  <c r="G98" i="56"/>
  <c r="G102" i="56"/>
  <c r="G100" i="56"/>
  <c r="G99" i="56"/>
  <c r="G103" i="56"/>
  <c r="G101" i="56"/>
  <c r="G42" i="55"/>
  <c r="G41" i="54"/>
  <c r="G98" i="54"/>
  <c r="G102" i="54"/>
  <c r="G100" i="54"/>
  <c r="G103" i="54"/>
  <c r="G101" i="54"/>
  <c r="G99" i="54"/>
  <c r="G98" i="55"/>
  <c r="G102" i="55"/>
  <c r="G99" i="55"/>
  <c r="G100" i="55"/>
  <c r="G103" i="55"/>
  <c r="G101" i="55"/>
  <c r="G41" i="56"/>
  <c r="G140" i="56"/>
  <c r="G42" i="56"/>
  <c r="G42" i="54"/>
  <c r="G43" i="55" l="1"/>
  <c r="G85" i="55" s="1"/>
  <c r="G103" i="57"/>
  <c r="G102" i="57"/>
  <c r="G101" i="57"/>
  <c r="G42" i="57"/>
  <c r="G100" i="57"/>
  <c r="G98" i="57"/>
  <c r="G140" i="57"/>
  <c r="G41" i="57"/>
  <c r="G43" i="57" s="1"/>
  <c r="G90" i="57" s="1"/>
  <c r="G99" i="57"/>
  <c r="G43" i="54"/>
  <c r="G43" i="56"/>
  <c r="G104" i="56"/>
  <c r="G115" i="56" s="1"/>
  <c r="G117" i="56" s="1"/>
  <c r="G143" i="56" s="1"/>
  <c r="G104" i="54"/>
  <c r="G115" i="54" s="1"/>
  <c r="G117" i="54" s="1"/>
  <c r="G104" i="55"/>
  <c r="G115" i="55" s="1"/>
  <c r="G117" i="55" s="1"/>
  <c r="G86" i="55"/>
  <c r="G88" i="55"/>
  <c r="G89" i="55" l="1"/>
  <c r="G90" i="55"/>
  <c r="G87" i="55"/>
  <c r="G78" i="55"/>
  <c r="I104" i="57"/>
  <c r="I115" i="57" s="1"/>
  <c r="I117" i="57" s="1"/>
  <c r="G89" i="57"/>
  <c r="G87" i="56"/>
  <c r="G90" i="56"/>
  <c r="G88" i="56"/>
  <c r="G78" i="54"/>
  <c r="G90" i="54"/>
  <c r="G89" i="54"/>
  <c r="G104" i="57"/>
  <c r="G115" i="57" s="1"/>
  <c r="G117" i="57" s="1"/>
  <c r="G143" i="57" s="1"/>
  <c r="G88" i="54"/>
  <c r="G87" i="54"/>
  <c r="G85" i="54"/>
  <c r="G86" i="54"/>
  <c r="G78" i="56"/>
  <c r="G89" i="56"/>
  <c r="G85" i="56"/>
  <c r="G86" i="56"/>
  <c r="G78" i="57"/>
  <c r="G85" i="57"/>
  <c r="G86" i="57"/>
  <c r="G87" i="57"/>
  <c r="G88" i="57"/>
  <c r="G50" i="56"/>
  <c r="G53" i="56"/>
  <c r="G54" i="56"/>
  <c r="G57" i="56"/>
  <c r="G52" i="56"/>
  <c r="G51" i="56"/>
  <c r="G56" i="56"/>
  <c r="G55" i="56"/>
  <c r="G143" i="55"/>
  <c r="G57" i="55"/>
  <c r="G50" i="55"/>
  <c r="G52" i="55"/>
  <c r="G51" i="55"/>
  <c r="G56" i="55"/>
  <c r="G55" i="55"/>
  <c r="G54" i="55"/>
  <c r="G53" i="55"/>
  <c r="G143" i="54"/>
  <c r="G55" i="54"/>
  <c r="G53" i="54"/>
  <c r="G54" i="54"/>
  <c r="G52" i="54"/>
  <c r="G50" i="54"/>
  <c r="G57" i="54"/>
  <c r="G56" i="54"/>
  <c r="G51" i="54"/>
  <c r="G91" i="55" l="1"/>
  <c r="I91" i="55"/>
  <c r="I91" i="57"/>
  <c r="I142" i="57" s="1"/>
  <c r="I91" i="54"/>
  <c r="I91" i="56"/>
  <c r="I51" i="57"/>
  <c r="I57" i="57"/>
  <c r="I54" i="57"/>
  <c r="I56" i="57"/>
  <c r="I53" i="57"/>
  <c r="I55" i="57"/>
  <c r="I50" i="57"/>
  <c r="I143" i="57"/>
  <c r="I52" i="57"/>
  <c r="G142" i="55"/>
  <c r="G91" i="54"/>
  <c r="G142" i="54" s="1"/>
  <c r="G91" i="56"/>
  <c r="G142" i="56" s="1"/>
  <c r="G58" i="54"/>
  <c r="G79" i="54" s="1"/>
  <c r="G81" i="54" s="1"/>
  <c r="G141" i="54" s="1"/>
  <c r="G53" i="57"/>
  <c r="G50" i="57"/>
  <c r="G55" i="57"/>
  <c r="G56" i="57"/>
  <c r="G54" i="57"/>
  <c r="G51" i="57"/>
  <c r="G52" i="57"/>
  <c r="G57" i="57"/>
  <c r="G91" i="57"/>
  <c r="G142" i="57" s="1"/>
  <c r="G58" i="56"/>
  <c r="G79" i="56" s="1"/>
  <c r="G81" i="56" s="1"/>
  <c r="G141" i="56" s="1"/>
  <c r="G58" i="55"/>
  <c r="G79" i="55" s="1"/>
  <c r="G81" i="55" s="1"/>
  <c r="G141" i="55" s="1"/>
  <c r="E135" i="52"/>
  <c r="F88" i="52"/>
  <c r="F87" i="52"/>
  <c r="F86" i="52"/>
  <c r="G72" i="52"/>
  <c r="G80" i="52" s="1"/>
  <c r="F58" i="52"/>
  <c r="F89" i="52" s="1"/>
  <c r="F42" i="52"/>
  <c r="F35" i="52"/>
  <c r="G31" i="52"/>
  <c r="G32" i="52" s="1"/>
  <c r="G33" i="52" s="1"/>
  <c r="F25" i="52"/>
  <c r="F42" i="37"/>
  <c r="F25" i="36"/>
  <c r="F22" i="36"/>
  <c r="G29" i="14"/>
  <c r="I142" i="56" l="1"/>
  <c r="I145" i="56" s="1"/>
  <c r="I130" i="56"/>
  <c r="I142" i="55"/>
  <c r="I145" i="55" s="1"/>
  <c r="I130" i="55"/>
  <c r="I131" i="55" s="1"/>
  <c r="I130" i="54"/>
  <c r="I131" i="54" s="1"/>
  <c r="I142" i="54"/>
  <c r="I145" i="54" s="1"/>
  <c r="I58" i="57"/>
  <c r="I79" i="57" s="1"/>
  <c r="I81" i="57" s="1"/>
  <c r="G58" i="57"/>
  <c r="G79" i="57" s="1"/>
  <c r="G81" i="57" s="1"/>
  <c r="G141" i="57" s="1"/>
  <c r="F115" i="52"/>
  <c r="G35" i="52"/>
  <c r="F43" i="52"/>
  <c r="F90" i="52"/>
  <c r="I141" i="57" l="1"/>
  <c r="I145" i="57" s="1"/>
  <c r="I130" i="57"/>
  <c r="I131" i="57" s="1"/>
  <c r="I131" i="56"/>
  <c r="I147" i="56" s="1"/>
  <c r="I147" i="55"/>
  <c r="I147" i="54"/>
  <c r="G98" i="52"/>
  <c r="G99" i="52"/>
  <c r="G101" i="52"/>
  <c r="G100" i="52"/>
  <c r="G103" i="52"/>
  <c r="G102" i="52"/>
  <c r="F91" i="52"/>
  <c r="G41" i="52"/>
  <c r="G140" i="52"/>
  <c r="G42" i="52"/>
  <c r="C64" i="29" l="1"/>
  <c r="E64" i="29" s="1"/>
  <c r="G64" i="29" s="1"/>
  <c r="G81" i="29" s="1"/>
  <c r="C107" i="29"/>
  <c r="E107" i="29" s="1"/>
  <c r="G107" i="29" s="1"/>
  <c r="G124" i="29" s="1"/>
  <c r="C63" i="29"/>
  <c r="E63" i="29" s="1"/>
  <c r="G63" i="29" s="1"/>
  <c r="G80" i="29" s="1"/>
  <c r="C106" i="29"/>
  <c r="E106" i="29" s="1"/>
  <c r="G106" i="29" s="1"/>
  <c r="G123" i="29" s="1"/>
  <c r="C62" i="29"/>
  <c r="E62" i="29" s="1"/>
  <c r="G62" i="29" s="1"/>
  <c r="G79" i="29" s="1"/>
  <c r="C105" i="29"/>
  <c r="E105" i="29" s="1"/>
  <c r="G105" i="29" s="1"/>
  <c r="G122" i="29" s="1"/>
  <c r="I134" i="56"/>
  <c r="I133" i="56"/>
  <c r="I134" i="55"/>
  <c r="I133" i="55"/>
  <c r="I134" i="54"/>
  <c r="I133" i="54"/>
  <c r="G104" i="52"/>
  <c r="G43" i="52"/>
  <c r="G89" i="52" l="1"/>
  <c r="G90" i="52"/>
  <c r="G78" i="52"/>
  <c r="G86" i="52"/>
  <c r="G87" i="52"/>
  <c r="G88" i="52"/>
  <c r="G85" i="52"/>
  <c r="I91" i="52" l="1"/>
  <c r="G115" i="52"/>
  <c r="G117" i="52" s="1"/>
  <c r="G91" i="52"/>
  <c r="G142" i="52" s="1"/>
  <c r="I130" i="52" l="1"/>
  <c r="I131" i="52" s="1"/>
  <c r="I142" i="52"/>
  <c r="I145" i="52" s="1"/>
  <c r="G143" i="52"/>
  <c r="G56" i="52"/>
  <c r="G57" i="52"/>
  <c r="G55" i="52"/>
  <c r="G51" i="52"/>
  <c r="G53" i="52"/>
  <c r="G52" i="52"/>
  <c r="G50" i="52"/>
  <c r="G54" i="52"/>
  <c r="F25" i="14"/>
  <c r="G58" i="52" l="1"/>
  <c r="G79" i="52" s="1"/>
  <c r="G81" i="52" s="1"/>
  <c r="G141" i="52" s="1"/>
  <c r="B41" i="29" l="1"/>
  <c r="B38" i="29"/>
  <c r="B37" i="29"/>
  <c r="B36" i="29"/>
  <c r="B35" i="29"/>
  <c r="B34" i="29"/>
  <c r="B16" i="29"/>
  <c r="B33" i="29" s="1"/>
  <c r="B32" i="29"/>
  <c r="B14" i="29"/>
  <c r="E135" i="48"/>
  <c r="F88" i="48"/>
  <c r="F87" i="48"/>
  <c r="F86" i="48"/>
  <c r="G66" i="48"/>
  <c r="F58" i="48"/>
  <c r="F89" i="48" s="1"/>
  <c r="F35" i="48"/>
  <c r="G29" i="48"/>
  <c r="G30" i="48" s="1"/>
  <c r="F115" i="48" l="1"/>
  <c r="G31" i="48"/>
  <c r="G32" i="48" s="1"/>
  <c r="G33" i="48" s="1"/>
  <c r="F90" i="48"/>
  <c r="G35" i="48" l="1"/>
  <c r="F91" i="48"/>
  <c r="G140" i="48" l="1"/>
  <c r="G65" i="48"/>
  <c r="G72" i="48" s="1"/>
  <c r="G80" i="48" s="1"/>
  <c r="G99" i="48"/>
  <c r="G103" i="48"/>
  <c r="G98" i="48"/>
  <c r="G100" i="48"/>
  <c r="G101" i="48"/>
  <c r="G102" i="48"/>
  <c r="G41" i="48"/>
  <c r="G42" i="48"/>
  <c r="G104" i="48" l="1"/>
  <c r="G115" i="48" s="1"/>
  <c r="G117" i="48" s="1"/>
  <c r="G143" i="48" s="1"/>
  <c r="G43" i="48"/>
  <c r="G78" i="48" l="1"/>
  <c r="G90" i="48"/>
  <c r="G89" i="48"/>
  <c r="G85" i="48"/>
  <c r="G87" i="48"/>
  <c r="G86" i="48"/>
  <c r="G88" i="48"/>
  <c r="G54" i="48"/>
  <c r="G53" i="48"/>
  <c r="G56" i="48"/>
  <c r="G55" i="48"/>
  <c r="G51" i="48"/>
  <c r="G50" i="48"/>
  <c r="G52" i="48"/>
  <c r="G57" i="48"/>
  <c r="G91" i="45" l="1"/>
  <c r="I91" i="48"/>
  <c r="G91" i="48"/>
  <c r="G142" i="48" s="1"/>
  <c r="G58" i="48"/>
  <c r="G79" i="48" s="1"/>
  <c r="G81" i="48" s="1"/>
  <c r="G141" i="48" s="1"/>
  <c r="E135" i="43"/>
  <c r="F88" i="43"/>
  <c r="F87" i="43"/>
  <c r="F86" i="43"/>
  <c r="F58" i="43"/>
  <c r="F43" i="43"/>
  <c r="F35" i="43"/>
  <c r="G29" i="43"/>
  <c r="E135" i="37"/>
  <c r="F88" i="37"/>
  <c r="F87" i="37"/>
  <c r="F86" i="37"/>
  <c r="G66" i="37"/>
  <c r="F58" i="37"/>
  <c r="F89" i="37" s="1"/>
  <c r="F43" i="37"/>
  <c r="F35" i="37"/>
  <c r="G29" i="37"/>
  <c r="I142" i="48" l="1"/>
  <c r="I145" i="48" s="1"/>
  <c r="I130" i="48"/>
  <c r="I131" i="48" s="1"/>
  <c r="F89" i="43"/>
  <c r="G30" i="43"/>
  <c r="G31" i="43" s="1"/>
  <c r="G32" i="43" s="1"/>
  <c r="G33" i="43" s="1"/>
  <c r="G65" i="43"/>
  <c r="F90" i="37"/>
  <c r="G30" i="37"/>
  <c r="G31" i="37" s="1"/>
  <c r="G32" i="37" s="1"/>
  <c r="G33" i="37" s="1"/>
  <c r="G65" i="37"/>
  <c r="F115" i="43"/>
  <c r="F90" i="43"/>
  <c r="F115" i="37"/>
  <c r="G66" i="36"/>
  <c r="E132" i="36"/>
  <c r="E135" i="36" s="1"/>
  <c r="F88" i="36"/>
  <c r="F90" i="36" s="1"/>
  <c r="F87" i="36"/>
  <c r="F86" i="36"/>
  <c r="F58" i="36"/>
  <c r="F43" i="36"/>
  <c r="F35" i="36"/>
  <c r="G29" i="36"/>
  <c r="F91" i="37" l="1"/>
  <c r="F91" i="43"/>
  <c r="G30" i="36"/>
  <c r="G31" i="36" s="1"/>
  <c r="G32" i="36" s="1"/>
  <c r="G33" i="36" s="1"/>
  <c r="G65" i="36"/>
  <c r="G35" i="43"/>
  <c r="G35" i="37"/>
  <c r="F89" i="36"/>
  <c r="F115" i="36"/>
  <c r="G98" i="43" l="1"/>
  <c r="G100" i="43"/>
  <c r="G102" i="43"/>
  <c r="G99" i="43"/>
  <c r="G101" i="43"/>
  <c r="G103" i="43"/>
  <c r="G98" i="37"/>
  <c r="G101" i="37"/>
  <c r="G100" i="37"/>
  <c r="G102" i="37"/>
  <c r="G103" i="37"/>
  <c r="G99" i="37"/>
  <c r="G42" i="43"/>
  <c r="G42" i="37"/>
  <c r="F91" i="36"/>
  <c r="G140" i="43"/>
  <c r="G72" i="43"/>
  <c r="G80" i="43" s="1"/>
  <c r="G41" i="43"/>
  <c r="G140" i="37"/>
  <c r="G72" i="37"/>
  <c r="G80" i="37" s="1"/>
  <c r="G41" i="37"/>
  <c r="G35" i="36"/>
  <c r="G104" i="43" l="1"/>
  <c r="G104" i="37"/>
  <c r="G98" i="36"/>
  <c r="G99" i="36"/>
  <c r="G103" i="36"/>
  <c r="G102" i="36"/>
  <c r="G100" i="36"/>
  <c r="G101" i="36"/>
  <c r="G42" i="36"/>
  <c r="G43" i="43"/>
  <c r="G43" i="37"/>
  <c r="G72" i="36"/>
  <c r="G80" i="36" s="1"/>
  <c r="G41" i="36"/>
  <c r="G140" i="36"/>
  <c r="G125" i="14"/>
  <c r="G144" i="14" s="1"/>
  <c r="F103" i="14"/>
  <c r="F102" i="14"/>
  <c r="F101" i="14"/>
  <c r="F88" i="14"/>
  <c r="F87" i="14"/>
  <c r="F86" i="14"/>
  <c r="F58" i="14"/>
  <c r="F43" i="14"/>
  <c r="F35" i="14"/>
  <c r="F104" i="14" l="1"/>
  <c r="F115" i="14" s="1"/>
  <c r="G90" i="37"/>
  <c r="G89" i="37"/>
  <c r="G89" i="43"/>
  <c r="G90" i="43"/>
  <c r="G104" i="36"/>
  <c r="G78" i="43"/>
  <c r="G85" i="43"/>
  <c r="G87" i="43"/>
  <c r="G86" i="43"/>
  <c r="G88" i="43"/>
  <c r="G78" i="37"/>
  <c r="G87" i="37"/>
  <c r="G85" i="37"/>
  <c r="G86" i="37"/>
  <c r="G88" i="37"/>
  <c r="G43" i="36"/>
  <c r="F89" i="14"/>
  <c r="G30" i="14"/>
  <c r="G31" i="14" s="1"/>
  <c r="G32" i="14" s="1"/>
  <c r="G33" i="14" s="1"/>
  <c r="F90" i="14"/>
  <c r="G90" i="36" l="1"/>
  <c r="I91" i="36"/>
  <c r="I91" i="37"/>
  <c r="I91" i="43"/>
  <c r="G88" i="36"/>
  <c r="G91" i="43"/>
  <c r="G142" i="43" s="1"/>
  <c r="G115" i="43"/>
  <c r="G117" i="43" s="1"/>
  <c r="G91" i="37"/>
  <c r="G142" i="37" s="1"/>
  <c r="G115" i="37"/>
  <c r="G117" i="37" s="1"/>
  <c r="G78" i="36"/>
  <c r="G89" i="36"/>
  <c r="G87" i="36"/>
  <c r="G85" i="36"/>
  <c r="G86" i="36"/>
  <c r="G35" i="14"/>
  <c r="F91" i="14"/>
  <c r="I142" i="43" l="1"/>
  <c r="I145" i="43" s="1"/>
  <c r="I130" i="43"/>
  <c r="I131" i="43" s="1"/>
  <c r="I142" i="37"/>
  <c r="I145" i="37" s="1"/>
  <c r="I130" i="37"/>
  <c r="I131" i="37" s="1"/>
  <c r="I142" i="36"/>
  <c r="I145" i="36" s="1"/>
  <c r="I130" i="36"/>
  <c r="I131" i="36" s="1"/>
  <c r="G98" i="14"/>
  <c r="G100" i="14"/>
  <c r="G101" i="14"/>
  <c r="G102" i="14"/>
  <c r="G103" i="14"/>
  <c r="G99" i="14"/>
  <c r="G143" i="43"/>
  <c r="G52" i="43"/>
  <c r="G54" i="43"/>
  <c r="G53" i="43"/>
  <c r="G50" i="43"/>
  <c r="G55" i="43"/>
  <c r="G56" i="43"/>
  <c r="G57" i="43"/>
  <c r="G51" i="43"/>
  <c r="G143" i="37"/>
  <c r="G53" i="37"/>
  <c r="G54" i="37"/>
  <c r="G55" i="37"/>
  <c r="G56" i="37"/>
  <c r="G52" i="37"/>
  <c r="G50" i="37"/>
  <c r="G51" i="37"/>
  <c r="G57" i="37"/>
  <c r="G115" i="36"/>
  <c r="G117" i="36" s="1"/>
  <c r="G91" i="36"/>
  <c r="G142" i="36" s="1"/>
  <c r="G42" i="14"/>
  <c r="G72" i="14"/>
  <c r="G80" i="14" s="1"/>
  <c r="G140" i="14"/>
  <c r="G41" i="14"/>
  <c r="I147" i="36" l="1"/>
  <c r="G58" i="37"/>
  <c r="G79" i="37" s="1"/>
  <c r="G81" i="37" s="1"/>
  <c r="G141" i="37" s="1"/>
  <c r="G58" i="43"/>
  <c r="G79" i="43" s="1"/>
  <c r="G81" i="43" s="1"/>
  <c r="G141" i="43" s="1"/>
  <c r="G143" i="36"/>
  <c r="G51" i="36"/>
  <c r="G53" i="36"/>
  <c r="G52" i="36"/>
  <c r="G57" i="36"/>
  <c r="G56" i="36"/>
  <c r="G54" i="36"/>
  <c r="G50" i="36"/>
  <c r="G55" i="36"/>
  <c r="G43" i="14"/>
  <c r="G90" i="14" s="1"/>
  <c r="C59" i="29" l="1"/>
  <c r="E59" i="29" s="1"/>
  <c r="G59" i="29" s="1"/>
  <c r="G76" i="29" s="1"/>
  <c r="C102" i="29"/>
  <c r="E102" i="29" s="1"/>
  <c r="G102" i="29" s="1"/>
  <c r="I133" i="36"/>
  <c r="I134" i="36"/>
  <c r="G58" i="36"/>
  <c r="G79" i="36" s="1"/>
  <c r="G81" i="36" s="1"/>
  <c r="G141" i="36" s="1"/>
  <c r="G78" i="14"/>
  <c r="G86" i="14"/>
  <c r="G88" i="14"/>
  <c r="G87" i="14"/>
  <c r="G89" i="14"/>
  <c r="G85" i="14"/>
  <c r="G119" i="29" l="1"/>
  <c r="G91" i="14"/>
  <c r="G142" i="14" s="1"/>
  <c r="G104" i="14"/>
  <c r="G115" i="14" s="1"/>
  <c r="G117" i="14" s="1"/>
  <c r="G57" i="14" l="1"/>
  <c r="G55" i="14"/>
  <c r="G143" i="14"/>
  <c r="G53" i="14"/>
  <c r="G51" i="14"/>
  <c r="G54" i="14"/>
  <c r="G50" i="14"/>
  <c r="G52" i="14"/>
  <c r="G56" i="14"/>
  <c r="F340" i="32"/>
  <c r="F339" i="32"/>
  <c r="F338" i="32"/>
  <c r="F341" i="32" s="1"/>
  <c r="F335" i="32"/>
  <c r="F334" i="32"/>
  <c r="F333" i="32"/>
  <c r="F332" i="32"/>
  <c r="F331" i="32"/>
  <c r="F330" i="32"/>
  <c r="F329" i="32"/>
  <c r="F328" i="32"/>
  <c r="F327" i="32"/>
  <c r="F326" i="32"/>
  <c r="F325" i="32"/>
  <c r="F324" i="32"/>
  <c r="F323" i="32"/>
  <c r="F322" i="32"/>
  <c r="F321" i="32"/>
  <c r="F320" i="32"/>
  <c r="F319" i="32"/>
  <c r="F318" i="32"/>
  <c r="F317" i="32"/>
  <c r="F316" i="32"/>
  <c r="F315" i="32"/>
  <c r="F314" i="32"/>
  <c r="F313" i="32"/>
  <c r="F265" i="32"/>
  <c r="F264" i="32"/>
  <c r="F263" i="32"/>
  <c r="F262" i="32"/>
  <c r="F261" i="32"/>
  <c r="F260" i="32"/>
  <c r="F259" i="32"/>
  <c r="F256" i="32"/>
  <c r="F255" i="32"/>
  <c r="F254" i="32"/>
  <c r="F253" i="32"/>
  <c r="F252" i="32"/>
  <c r="F251" i="32"/>
  <c r="F250" i="32"/>
  <c r="F249" i="32"/>
  <c r="F248" i="32"/>
  <c r="F247" i="32"/>
  <c r="F246" i="32"/>
  <c r="F245" i="32"/>
  <c r="F244" i="32"/>
  <c r="F243" i="32"/>
  <c r="F242" i="32"/>
  <c r="F241" i="32"/>
  <c r="F240" i="32"/>
  <c r="F239" i="32"/>
  <c r="F238" i="32"/>
  <c r="F237" i="32"/>
  <c r="F236" i="32"/>
  <c r="F235" i="32"/>
  <c r="F234" i="32"/>
  <c r="F233" i="32"/>
  <c r="F232" i="32"/>
  <c r="F225" i="32"/>
  <c r="F222" i="32"/>
  <c r="F221" i="32"/>
  <c r="F220" i="32"/>
  <c r="F219" i="32"/>
  <c r="F218" i="32"/>
  <c r="F217" i="32"/>
  <c r="F216" i="32"/>
  <c r="F215" i="32"/>
  <c r="F214" i="32"/>
  <c r="F213" i="32"/>
  <c r="F212" i="32"/>
  <c r="F211" i="32"/>
  <c r="F210" i="32"/>
  <c r="F209" i="32"/>
  <c r="F208" i="32"/>
  <c r="F207" i="32"/>
  <c r="F206" i="32"/>
  <c r="F205" i="32"/>
  <c r="F204" i="32"/>
  <c r="F203" i="32"/>
  <c r="F202" i="32"/>
  <c r="F201" i="32"/>
  <c r="F200" i="32"/>
  <c r="F199" i="32"/>
  <c r="F198" i="32"/>
  <c r="F197" i="32"/>
  <c r="F196" i="32"/>
  <c r="F195" i="32"/>
  <c r="F194" i="32"/>
  <c r="F193" i="32"/>
  <c r="F192" i="32"/>
  <c r="F191" i="32"/>
  <c r="F190" i="32"/>
  <c r="F189" i="32"/>
  <c r="F188" i="32"/>
  <c r="F187" i="32"/>
  <c r="F186" i="32"/>
  <c r="F185" i="32"/>
  <c r="F184" i="32"/>
  <c r="F183" i="32"/>
  <c r="F182" i="32"/>
  <c r="F181" i="32"/>
  <c r="F180" i="32"/>
  <c r="F179" i="32"/>
  <c r="F178" i="32"/>
  <c r="F177" i="32"/>
  <c r="F176" i="32"/>
  <c r="F175" i="32"/>
  <c r="F174" i="32"/>
  <c r="F173" i="32"/>
  <c r="F172" i="32"/>
  <c r="F171" i="32"/>
  <c r="F170" i="32"/>
  <c r="F169" i="32"/>
  <c r="F168" i="32"/>
  <c r="F167" i="32"/>
  <c r="F166" i="32"/>
  <c r="F165" i="32"/>
  <c r="F164" i="32"/>
  <c r="F163" i="32"/>
  <c r="F162" i="32"/>
  <c r="F161" i="32"/>
  <c r="F160" i="32"/>
  <c r="F157" i="32"/>
  <c r="F156" i="32"/>
  <c r="F155" i="32"/>
  <c r="F154" i="32"/>
  <c r="F153" i="32"/>
  <c r="F152" i="32"/>
  <c r="F151" i="32"/>
  <c r="F150" i="32"/>
  <c r="F149" i="32"/>
  <c r="F148" i="32"/>
  <c r="F147" i="32"/>
  <c r="F146" i="32"/>
  <c r="F145" i="32"/>
  <c r="F144" i="32"/>
  <c r="F143" i="32"/>
  <c r="F142" i="32"/>
  <c r="F141" i="32"/>
  <c r="F140" i="32"/>
  <c r="F137" i="32"/>
  <c r="F136" i="32"/>
  <c r="F135" i="32"/>
  <c r="F134" i="32"/>
  <c r="F133" i="32"/>
  <c r="F132" i="32"/>
  <c r="F131" i="32"/>
  <c r="F130" i="32"/>
  <c r="F129" i="32"/>
  <c r="F128" i="32"/>
  <c r="F127" i="32"/>
  <c r="F126" i="32"/>
  <c r="F125" i="32"/>
  <c r="F124" i="32"/>
  <c r="F123" i="32"/>
  <c r="F122" i="32"/>
  <c r="F121" i="32"/>
  <c r="F120" i="32"/>
  <c r="F119" i="32"/>
  <c r="F118" i="32"/>
  <c r="F117" i="32"/>
  <c r="F116" i="32"/>
  <c r="F115" i="32"/>
  <c r="F114" i="32"/>
  <c r="F113" i="32"/>
  <c r="F112" i="32"/>
  <c r="F111" i="32"/>
  <c r="F110" i="32"/>
  <c r="F109" i="32"/>
  <c r="F108" i="32"/>
  <c r="F107" i="32"/>
  <c r="F106" i="32"/>
  <c r="F105" i="32"/>
  <c r="F104" i="32"/>
  <c r="F103" i="32"/>
  <c r="F102" i="32"/>
  <c r="F101" i="32"/>
  <c r="F100" i="32"/>
  <c r="F99" i="32"/>
  <c r="F98" i="32"/>
  <c r="F97" i="32"/>
  <c r="F96" i="32"/>
  <c r="F95" i="32"/>
  <c r="F94" i="32"/>
  <c r="F93" i="32"/>
  <c r="F92" i="32"/>
  <c r="F91" i="32"/>
  <c r="F90" i="32"/>
  <c r="F89" i="32"/>
  <c r="F88" i="32"/>
  <c r="F87" i="32"/>
  <c r="F86" i="32"/>
  <c r="F85" i="32"/>
  <c r="F84" i="32"/>
  <c r="F83" i="32"/>
  <c r="F82" i="32"/>
  <c r="F81" i="32"/>
  <c r="F80" i="32"/>
  <c r="F79" i="32"/>
  <c r="F78" i="32"/>
  <c r="F77" i="32"/>
  <c r="F76" i="32"/>
  <c r="F75" i="32"/>
  <c r="F74" i="32"/>
  <c r="F73" i="32"/>
  <c r="F72" i="32"/>
  <c r="F71" i="32"/>
  <c r="F70" i="32"/>
  <c r="F69" i="32"/>
  <c r="F68" i="32"/>
  <c r="F67" i="32"/>
  <c r="F66" i="32"/>
  <c r="F65" i="32"/>
  <c r="F64" i="32"/>
  <c r="F63" i="32"/>
  <c r="F62" i="32"/>
  <c r="F61" i="32"/>
  <c r="F60" i="32"/>
  <c r="F59" i="32"/>
  <c r="F58" i="32"/>
  <c r="F57" i="32"/>
  <c r="F56" i="32"/>
  <c r="F55" i="32"/>
  <c r="F54" i="32"/>
  <c r="F53" i="32"/>
  <c r="F52" i="32"/>
  <c r="F51" i="32"/>
  <c r="F50" i="32"/>
  <c r="F49" i="32"/>
  <c r="F48" i="32"/>
  <c r="F47" i="32"/>
  <c r="F46" i="32"/>
  <c r="F45" i="32"/>
  <c r="F44" i="32"/>
  <c r="F43" i="32"/>
  <c r="F42" i="32"/>
  <c r="F41" i="32"/>
  <c r="F40" i="32"/>
  <c r="F39" i="32"/>
  <c r="F38" i="32"/>
  <c r="F37" i="32"/>
  <c r="F36" i="32"/>
  <c r="F35" i="32"/>
  <c r="F34" i="32"/>
  <c r="F33" i="32"/>
  <c r="F32" i="32"/>
  <c r="F31" i="32"/>
  <c r="F30" i="32"/>
  <c r="F29" i="32"/>
  <c r="F28" i="32"/>
  <c r="F27" i="32"/>
  <c r="F26" i="32"/>
  <c r="F25" i="32"/>
  <c r="F24" i="32"/>
  <c r="F23" i="32"/>
  <c r="F22" i="32"/>
  <c r="F21" i="32"/>
  <c r="F20" i="32"/>
  <c r="F19" i="32"/>
  <c r="F18" i="32"/>
  <c r="F17" i="32"/>
  <c r="F16" i="32"/>
  <c r="F15" i="32"/>
  <c r="F14" i="32"/>
  <c r="F13" i="32"/>
  <c r="F12" i="32"/>
  <c r="F11" i="32"/>
  <c r="F10" i="32"/>
  <c r="F9" i="32"/>
  <c r="F8" i="32"/>
  <c r="F7" i="32"/>
  <c r="F158" i="32" l="1"/>
  <c r="F226" i="32"/>
  <c r="F336" i="32"/>
  <c r="F138" i="32"/>
  <c r="F257" i="32"/>
  <c r="F266" i="32"/>
  <c r="F342" i="32" l="1"/>
  <c r="F343" i="32" s="1"/>
  <c r="B31" i="29"/>
  <c r="G125" i="57" l="1"/>
  <c r="G130" i="57" s="1"/>
  <c r="G125" i="48"/>
  <c r="G130" i="48" s="1"/>
  <c r="G131" i="48" l="1"/>
  <c r="I147" i="48" s="1"/>
  <c r="G131" i="57"/>
  <c r="I147" i="57" s="1"/>
  <c r="G144" i="57"/>
  <c r="G145" i="57" s="1"/>
  <c r="G125" i="37"/>
  <c r="G125" i="52"/>
  <c r="G130" i="52" s="1"/>
  <c r="G125" i="36"/>
  <c r="G125" i="55"/>
  <c r="G130" i="55" s="1"/>
  <c r="G125" i="54"/>
  <c r="G130" i="54" s="1"/>
  <c r="G125" i="56"/>
  <c r="G130" i="56" s="1"/>
  <c r="G125" i="43"/>
  <c r="G130" i="43" s="1"/>
  <c r="G144" i="48"/>
  <c r="G145" i="48" s="1"/>
  <c r="C68" i="29" l="1"/>
  <c r="E68" i="29" s="1"/>
  <c r="G68" i="29" s="1"/>
  <c r="G85" i="29" s="1"/>
  <c r="C111" i="29"/>
  <c r="E111" i="29" s="1"/>
  <c r="G111" i="29" s="1"/>
  <c r="G128" i="29" s="1"/>
  <c r="C66" i="29"/>
  <c r="E66" i="29" s="1"/>
  <c r="G66" i="29" s="1"/>
  <c r="G83" i="29" s="1"/>
  <c r="C109" i="29"/>
  <c r="E109" i="29" s="1"/>
  <c r="G109" i="29" s="1"/>
  <c r="G126" i="29" s="1"/>
  <c r="I133" i="57"/>
  <c r="I134" i="57"/>
  <c r="I133" i="48"/>
  <c r="I134" i="48"/>
  <c r="G147" i="48"/>
  <c r="C24" i="29" s="1"/>
  <c r="G147" i="57"/>
  <c r="C22" i="29" s="1"/>
  <c r="G131" i="43"/>
  <c r="I147" i="43" s="1"/>
  <c r="G131" i="56"/>
  <c r="G131" i="55"/>
  <c r="G131" i="54"/>
  <c r="G131" i="52"/>
  <c r="I147" i="52" s="1"/>
  <c r="G144" i="37"/>
  <c r="G145" i="37" s="1"/>
  <c r="G130" i="37"/>
  <c r="G144" i="36"/>
  <c r="G145" i="36" s="1"/>
  <c r="G130" i="36"/>
  <c r="G144" i="52"/>
  <c r="G145" i="52" s="1"/>
  <c r="G144" i="56"/>
  <c r="G145" i="56" s="1"/>
  <c r="G144" i="54"/>
  <c r="G145" i="54" s="1"/>
  <c r="G144" i="55"/>
  <c r="G145" i="55" s="1"/>
  <c r="G144" i="43"/>
  <c r="G145" i="43" s="1"/>
  <c r="C65" i="29" l="1"/>
  <c r="E65" i="29" s="1"/>
  <c r="G65" i="29" s="1"/>
  <c r="G82" i="29" s="1"/>
  <c r="C108" i="29"/>
  <c r="E108" i="29" s="1"/>
  <c r="G108" i="29" s="1"/>
  <c r="G125" i="29" s="1"/>
  <c r="C61" i="29"/>
  <c r="E61" i="29" s="1"/>
  <c r="G61" i="29" s="1"/>
  <c r="G78" i="29" s="1"/>
  <c r="C104" i="29"/>
  <c r="E104" i="29" s="1"/>
  <c r="G104" i="29" s="1"/>
  <c r="G121" i="29" s="1"/>
  <c r="I135" i="57"/>
  <c r="I134" i="43"/>
  <c r="I133" i="43"/>
  <c r="I133" i="52"/>
  <c r="I134" i="52"/>
  <c r="G147" i="43"/>
  <c r="C21" i="29" s="1"/>
  <c r="G147" i="56"/>
  <c r="C20" i="29" s="1"/>
  <c r="G147" i="55"/>
  <c r="C19" i="29" s="1"/>
  <c r="G147" i="54"/>
  <c r="C18" i="29" s="1"/>
  <c r="G147" i="52"/>
  <c r="G133" i="52" s="1"/>
  <c r="E22" i="29"/>
  <c r="G22" i="29" s="1"/>
  <c r="G39" i="29" s="1"/>
  <c r="G131" i="36"/>
  <c r="G131" i="37"/>
  <c r="G147" i="37" s="1"/>
  <c r="G134" i="57"/>
  <c r="G133" i="57"/>
  <c r="I146" i="57" s="1"/>
  <c r="E24" i="29"/>
  <c r="G24" i="29" s="1"/>
  <c r="G41" i="29" s="1"/>
  <c r="G134" i="48"/>
  <c r="G133" i="48"/>
  <c r="I147" i="37" l="1"/>
  <c r="I135" i="48"/>
  <c r="I146" i="48" s="1"/>
  <c r="G147" i="36"/>
  <c r="C15" i="29" s="1"/>
  <c r="C17" i="29"/>
  <c r="G134" i="52"/>
  <c r="G134" i="37"/>
  <c r="C16" i="29"/>
  <c r="G133" i="37"/>
  <c r="G135" i="57"/>
  <c r="G146" i="57" s="1"/>
  <c r="G133" i="55"/>
  <c r="G134" i="55"/>
  <c r="G134" i="56"/>
  <c r="G133" i="56"/>
  <c r="G134" i="54"/>
  <c r="G133" i="54"/>
  <c r="E21" i="29"/>
  <c r="G21" i="29" s="1"/>
  <c r="G38" i="29" s="1"/>
  <c r="E18" i="29"/>
  <c r="G18" i="29" s="1"/>
  <c r="G35" i="29" s="1"/>
  <c r="G135" i="48"/>
  <c r="G146" i="48" s="1"/>
  <c r="E20" i="29"/>
  <c r="G20" i="29" s="1"/>
  <c r="G37" i="29" s="1"/>
  <c r="G133" i="43"/>
  <c r="G134" i="43"/>
  <c r="E19" i="29"/>
  <c r="G19" i="29" s="1"/>
  <c r="G36" i="29" s="1"/>
  <c r="C60" i="29" l="1"/>
  <c r="E60" i="29" s="1"/>
  <c r="G60" i="29" s="1"/>
  <c r="G77" i="29" s="1"/>
  <c r="C103" i="29"/>
  <c r="E103" i="29" s="1"/>
  <c r="G103" i="29" s="1"/>
  <c r="I133" i="37"/>
  <c r="I134" i="37"/>
  <c r="I135" i="56"/>
  <c r="I146" i="56" s="1"/>
  <c r="G135" i="52"/>
  <c r="G146" i="52" s="1"/>
  <c r="I135" i="52"/>
  <c r="I146" i="52" s="1"/>
  <c r="I135" i="54"/>
  <c r="I146" i="54" s="1"/>
  <c r="I135" i="55"/>
  <c r="I146" i="55" s="1"/>
  <c r="I135" i="43"/>
  <c r="I146" i="43" s="1"/>
  <c r="G135" i="54"/>
  <c r="G133" i="36"/>
  <c r="G134" i="36"/>
  <c r="E17" i="29"/>
  <c r="G17" i="29" s="1"/>
  <c r="G34" i="29" s="1"/>
  <c r="E16" i="29"/>
  <c r="G16" i="29" s="1"/>
  <c r="G33" i="29" s="1"/>
  <c r="G135" i="37"/>
  <c r="G146" i="37" s="1"/>
  <c r="G135" i="56"/>
  <c r="G146" i="56" s="1"/>
  <c r="G135" i="55"/>
  <c r="G146" i="55" s="1"/>
  <c r="G146" i="54"/>
  <c r="G135" i="43"/>
  <c r="G146" i="43" s="1"/>
  <c r="E15" i="29"/>
  <c r="G120" i="29" l="1"/>
  <c r="G112" i="29"/>
  <c r="G129" i="29" s="1"/>
  <c r="I135" i="37"/>
  <c r="I146" i="37" s="1"/>
  <c r="I135" i="36"/>
  <c r="I146" i="36" s="1"/>
  <c r="G135" i="36"/>
  <c r="G146" i="36" s="1"/>
  <c r="G15" i="29"/>
  <c r="G32" i="29" s="1"/>
  <c r="F25" i="8"/>
  <c r="F26" i="8"/>
  <c r="F27" i="8"/>
  <c r="F15" i="8"/>
  <c r="F16" i="8"/>
  <c r="F17" i="8"/>
  <c r="F18" i="8"/>
  <c r="F19" i="8"/>
  <c r="F20" i="8"/>
  <c r="F21" i="8"/>
  <c r="F22" i="8"/>
  <c r="F23" i="8"/>
  <c r="F24" i="8"/>
  <c r="F13" i="8"/>
  <c r="F10" i="8"/>
  <c r="F11" i="8"/>
  <c r="F12" i="8"/>
  <c r="F8" i="8"/>
  <c r="F9" i="8"/>
  <c r="F14" i="8"/>
  <c r="F7" i="8"/>
  <c r="E136" i="29" l="1"/>
  <c r="G130" i="29"/>
  <c r="G58" i="14"/>
  <c r="G79" i="14" s="1"/>
  <c r="E138" i="29" l="1"/>
  <c r="F138" i="29" s="1"/>
  <c r="F136" i="29"/>
  <c r="G81" i="14"/>
  <c r="G130" i="14" s="1"/>
  <c r="G131" i="14" l="1"/>
  <c r="G141" i="14"/>
  <c r="G145" i="14" s="1"/>
  <c r="G147" i="14" l="1"/>
  <c r="G133" i="14" s="1"/>
  <c r="K135" i="14" l="1"/>
  <c r="K146" i="14" s="1"/>
  <c r="G134" i="14"/>
  <c r="C14" i="29"/>
  <c r="E14" i="29" s="1"/>
  <c r="G14" i="29" s="1"/>
  <c r="G135" i="14" l="1"/>
  <c r="G146" i="14" s="1"/>
  <c r="G31" i="29"/>
  <c r="I145" i="14" l="1"/>
  <c r="I147" i="14" s="1"/>
  <c r="C58" i="29" s="1"/>
  <c r="E58" i="29" s="1"/>
  <c r="G58" i="29" s="1"/>
  <c r="G69" i="29" l="1"/>
  <c r="G86" i="29" s="1"/>
  <c r="G75" i="29"/>
  <c r="I133" i="14"/>
  <c r="I134" i="14"/>
  <c r="G87" i="29" l="1"/>
  <c r="E93" i="29"/>
  <c r="I135" i="14"/>
  <c r="I146" i="14" s="1"/>
  <c r="E135" i="45"/>
  <c r="G147" i="45"/>
  <c r="C23" i="29" s="1"/>
  <c r="E23" i="29" s="1"/>
  <c r="G23" i="29" s="1"/>
  <c r="E95" i="29" l="1"/>
  <c r="F95" i="29" s="1"/>
  <c r="F93" i="29"/>
  <c r="G40" i="29"/>
  <c r="G25" i="29"/>
  <c r="G42" i="29" s="1"/>
  <c r="G134" i="45"/>
  <c r="G133" i="45"/>
  <c r="I135" i="45"/>
  <c r="I146" i="45" s="1"/>
  <c r="G135" i="45" l="1"/>
  <c r="G146" i="45" s="1"/>
  <c r="G43" i="29"/>
  <c r="E49" i="29"/>
  <c r="F49" i="29" l="1"/>
  <c r="E51" i="29"/>
  <c r="F51" i="29" s="1"/>
  <c r="I54" i="29" s="1"/>
</calcChain>
</file>

<file path=xl/comments1.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 ref="J100" authorId="0" shapeId="0">
      <text>
        <r>
          <rPr>
            <b/>
            <sz val="8"/>
            <color indexed="81"/>
            <rFont val="Tahoma"/>
            <family val="2"/>
          </rPr>
          <t xml:space="preserve">1,5% / 12 = 0,13%
</t>
        </r>
        <r>
          <rPr>
            <sz val="8"/>
            <color indexed="81"/>
            <rFont val="Tahoma"/>
            <family val="2"/>
          </rPr>
          <t xml:space="preserve">
</t>
        </r>
      </text>
    </comment>
  </commentList>
</comments>
</file>

<file path=xl/comments10.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comments11.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comments2.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comments3.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comments4.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comments5.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comments6.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comments7.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comments8.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comments9.xml><?xml version="1.0" encoding="utf-8"?>
<comments xmlns="http://schemas.openxmlformats.org/spreadsheetml/2006/main">
  <authors>
    <author>gestor_seg</author>
  </authors>
  <commentList>
    <comment ref="F100" authorId="0" shapeId="0">
      <text>
        <r>
          <rPr>
            <b/>
            <sz val="8"/>
            <color indexed="81"/>
            <rFont val="Tahoma"/>
            <family val="2"/>
          </rPr>
          <t xml:space="preserve">1,5% / 12 = 0,13%
</t>
        </r>
        <r>
          <rPr>
            <sz val="8"/>
            <color indexed="81"/>
            <rFont val="Tahoma"/>
            <family val="2"/>
          </rPr>
          <t xml:space="preserve">
</t>
        </r>
      </text>
    </comment>
    <comment ref="H100" authorId="0" shapeId="0">
      <text>
        <r>
          <rPr>
            <b/>
            <sz val="8"/>
            <color indexed="81"/>
            <rFont val="Tahoma"/>
            <family val="2"/>
          </rPr>
          <t xml:space="preserve">1,5% / 12 = 0,13%
</t>
        </r>
        <r>
          <rPr>
            <sz val="8"/>
            <color indexed="81"/>
            <rFont val="Tahoma"/>
            <family val="2"/>
          </rPr>
          <t xml:space="preserve">
</t>
        </r>
      </text>
    </comment>
  </commentList>
</comments>
</file>

<file path=xl/sharedStrings.xml><?xml version="1.0" encoding="utf-8"?>
<sst xmlns="http://schemas.openxmlformats.org/spreadsheetml/2006/main" count="4532" uniqueCount="1164">
  <si>
    <t>DESCRIÇÃO DO MATERIAL</t>
  </si>
  <si>
    <t>Un.</t>
  </si>
  <si>
    <t>Quant.</t>
  </si>
  <si>
    <t>Broca de aço rápido de 9/64’’.</t>
  </si>
  <si>
    <t>Broca de aço rápido de 5/32’’.</t>
  </si>
  <si>
    <t>Broca de aço rápido para buchas S/06.</t>
  </si>
  <si>
    <t>Conector para cabo coaxial de 75 ohms.</t>
  </si>
  <si>
    <t>Divisor de antena 3.</t>
  </si>
  <si>
    <t>Filtro de linha, com 6 tomadas 2 P + T 1500 VA - interruptor e proteção - (Ragtech)</t>
  </si>
  <si>
    <t>Interruptor paralelo 3 sessões – Branca – (Prime ou similar)</t>
  </si>
  <si>
    <t>Interruptor Simples de 10 A x 250 V – ref. 1312 – para divisorias</t>
  </si>
  <si>
    <t>Lamina de serra em aço n° 24.</t>
  </si>
  <si>
    <t>Pino Fêmea Monofásico - ref.: 51082 - (Pial / Fame).</t>
  </si>
  <si>
    <t>Reator 220 V para lâmpada de vapor metálico 2000 watts</t>
  </si>
  <si>
    <t>Reator Eletrônico com Alto Fator de Potência de 1 x 14  W</t>
  </si>
  <si>
    <t>Reator e acessórios p/ fixação (completa) FAB. ITAIM modelo IQ 2320 (2x28w) ou equivalente</t>
  </si>
  <si>
    <t>Reator e acessórios p/ fixação (completa) FAB. ITAIM modelo IQ 2005 (2x28w) ou equivalente</t>
  </si>
  <si>
    <t>Reator e acessórios p/ fixação (completa) FAB. ITAIM modelo IQ 3005 (2x28w) ou  equivalente</t>
  </si>
  <si>
    <t>Resistência de 3000 watts, para máquina de café.</t>
  </si>
  <si>
    <t>Soquete PL – C 26 W 4 pinos</t>
  </si>
  <si>
    <t>Terminal para bateria</t>
  </si>
  <si>
    <t>Acionador para válvula de descarga - silent-flux - ref.: 8791  - (Fabrimar).</t>
  </si>
  <si>
    <t>Carrapeta de ¾</t>
  </si>
  <si>
    <t>Carrapeta de ½</t>
  </si>
  <si>
    <t>Cesta para válvula americana 3.1/2” - ref.: 346 - Cod. PRO MH 680055 - (Esteves).</t>
  </si>
  <si>
    <t>Cesta para válvula americana 4.1/2” - ref.: 318 - Cod. PRO MH 680061 - (Esteves).</t>
  </si>
  <si>
    <t>Ducha econômica Maxi-banho de 220 V x 4400 W - (Fame).</t>
  </si>
  <si>
    <t>Reparo de válvula de 1 ½</t>
  </si>
  <si>
    <t>Reparo para torneira Deca lavatório mesa com fechamento automático DN15 ref.: 1173C</t>
  </si>
  <si>
    <t>Resistência de 4.400 W para chuveiro Lorenzetti – (Lorenzetti)</t>
  </si>
  <si>
    <t>Spud de PVC, com parafuso para vaso sanitário  - (Da Cunha / Esteves).</t>
  </si>
  <si>
    <t>Torneira de bóia de 2” -  (Deca).</t>
  </si>
  <si>
    <t>Torneira de bóia de 1” -  (Deca).</t>
  </si>
  <si>
    <t>Torneira de jardim ref.: 1153 (Fabrimar)</t>
  </si>
  <si>
    <t>Torneira de jardim de 1/2” metal -  (Deca).</t>
  </si>
  <si>
    <t>Torneira para pia de 1/2” com arejador  - ref.: DN 15/20 CR 1157 -  (Deca).</t>
  </si>
  <si>
    <t>Torneira de PVC auto vedante para bebedouro.</t>
  </si>
  <si>
    <t>Válvula de escoamento de lavatório ref.: 1601</t>
  </si>
  <si>
    <t>Válvula de retenção de 3”.</t>
  </si>
  <si>
    <t>Vedação acionador “Silent Flux” - ref.: 8791 - (Fabrimar).</t>
  </si>
  <si>
    <t>Adaptador splitter (divisor de antena 1x 4)</t>
  </si>
  <si>
    <r>
      <t>Cabinho flexível de 2,5 mm</t>
    </r>
    <r>
      <rPr>
        <vertAlign val="superscript"/>
        <sz val="10"/>
        <color theme="1"/>
        <rFont val="Times New Roman"/>
        <family val="1"/>
      </rPr>
      <t>2</t>
    </r>
    <r>
      <rPr>
        <sz val="10"/>
        <color theme="1"/>
        <rFont val="Times New Roman"/>
        <family val="1"/>
      </rPr>
      <t>, antichama, isolamento até 750 V – PRETO - Pirelli ou Similar.</t>
    </r>
  </si>
  <si>
    <r>
      <t>Cabinho flexível de 2,5 mm</t>
    </r>
    <r>
      <rPr>
        <vertAlign val="superscript"/>
        <sz val="10"/>
        <color theme="1"/>
        <rFont val="Times New Roman"/>
        <family val="1"/>
      </rPr>
      <t>2</t>
    </r>
    <r>
      <rPr>
        <sz val="10"/>
        <color theme="1"/>
        <rFont val="Times New Roman"/>
        <family val="1"/>
      </rPr>
      <t>, antichama, isolamento até 750 V – AZUL - Pirelli ou Similar.</t>
    </r>
  </si>
  <si>
    <r>
      <t>Cabinho flexível de 2,5 mm</t>
    </r>
    <r>
      <rPr>
        <vertAlign val="superscript"/>
        <sz val="10"/>
        <color theme="1"/>
        <rFont val="Times New Roman"/>
        <family val="1"/>
      </rPr>
      <t>2</t>
    </r>
    <r>
      <rPr>
        <sz val="10"/>
        <color theme="1"/>
        <rFont val="Times New Roman"/>
        <family val="1"/>
      </rPr>
      <t>, antichama, isolamento até 750 V – AMARELO - Pirelli ou Similar.</t>
    </r>
  </si>
  <si>
    <r>
      <t>Cabinho flexível de 2,5 mm</t>
    </r>
    <r>
      <rPr>
        <vertAlign val="superscript"/>
        <sz val="10"/>
        <color theme="1"/>
        <rFont val="Times New Roman"/>
        <family val="1"/>
      </rPr>
      <t>2</t>
    </r>
    <r>
      <rPr>
        <sz val="10"/>
        <color theme="1"/>
        <rFont val="Times New Roman"/>
        <family val="1"/>
      </rPr>
      <t>, antichama, isolamento até 750 V – VERDE/AMARELO – Pirelli ou Similar.</t>
    </r>
  </si>
  <si>
    <r>
      <t>Cabinho flexível de 4,0 mm</t>
    </r>
    <r>
      <rPr>
        <vertAlign val="superscript"/>
        <sz val="10"/>
        <color theme="1"/>
        <rFont val="Times New Roman"/>
        <family val="1"/>
      </rPr>
      <t>2</t>
    </r>
    <r>
      <rPr>
        <sz val="10"/>
        <color theme="1"/>
        <rFont val="Times New Roman"/>
        <family val="1"/>
      </rPr>
      <t>, antichama, isolamento até 750 V – PRETO - Pirelli ou Similar.</t>
    </r>
  </si>
  <si>
    <r>
      <t>Cabinho flexível de 4,0 mm</t>
    </r>
    <r>
      <rPr>
        <vertAlign val="superscript"/>
        <sz val="10"/>
        <color theme="1"/>
        <rFont val="Times New Roman"/>
        <family val="1"/>
      </rPr>
      <t>2</t>
    </r>
    <r>
      <rPr>
        <sz val="10"/>
        <color theme="1"/>
        <rFont val="Times New Roman"/>
        <family val="1"/>
      </rPr>
      <t>, antichama, isolamento até 750 V – AZUL - Pirelli ou Similar.</t>
    </r>
  </si>
  <si>
    <r>
      <t>Cabinho flexível de 4,0 mm</t>
    </r>
    <r>
      <rPr>
        <vertAlign val="superscript"/>
        <sz val="10"/>
        <color theme="1"/>
        <rFont val="Times New Roman"/>
        <family val="1"/>
      </rPr>
      <t>2</t>
    </r>
    <r>
      <rPr>
        <sz val="10"/>
        <color theme="1"/>
        <rFont val="Times New Roman"/>
        <family val="1"/>
      </rPr>
      <t>, antichama, isolamento até 750 V – AMARELO – Pirelli ou Similar.</t>
    </r>
  </si>
  <si>
    <r>
      <t>Cabinho flexível de 4,0 mm</t>
    </r>
    <r>
      <rPr>
        <vertAlign val="superscript"/>
        <sz val="10"/>
        <color theme="1"/>
        <rFont val="Times New Roman"/>
        <family val="1"/>
      </rPr>
      <t>2</t>
    </r>
    <r>
      <rPr>
        <sz val="10"/>
        <color theme="1"/>
        <rFont val="Times New Roman"/>
        <family val="1"/>
      </rPr>
      <t>, antichama, isolamento até 750 V – VERDE/AMARELO – Pirelli ou Similar.</t>
    </r>
  </si>
  <si>
    <t>Cabo PP de 3 x 2,5 mm2, antichama, isolamento até 01 KV - (Condumax / Reiplás) ou Similar.</t>
  </si>
  <si>
    <t>Conector tipo F para conexão em divisores e TV</t>
  </si>
  <si>
    <t>Contactor ABB tipo E 16A.</t>
  </si>
  <si>
    <t>Disjuntor ABB tipo C monofásico 16 A – (Merlin-Gerin) ou Similar</t>
  </si>
  <si>
    <t>Disjuntor ABBTMAX tipo C monofásico 20 A – (Merlin-Gerin) ou Similar</t>
  </si>
  <si>
    <t>Disjuntor ABBTMAX tipo C monofásico 25 A – (Merlin-Gerin) ou Similar</t>
  </si>
  <si>
    <t>Disjuntor ABBTMAX tipo C monofásico 32 A – (Merlin-Gerin) ou Similar</t>
  </si>
  <si>
    <t>Disjuntor ABBTMAX tipo C 80 trifásico  – (Merlin-Gerin) ou  Similar</t>
  </si>
  <si>
    <t>Disjuntor ABBTMAX tipo C 32 trifásico – (Merlin-Gerin) ou Similar</t>
  </si>
  <si>
    <t>Disjuntor ABBTMAX tipo C 40 trifásico – (Merlin-Gerin) ou Similar</t>
  </si>
  <si>
    <t>Fusível tamanho 63A NH00</t>
  </si>
  <si>
    <t>Fusível tamanho 80A NH00</t>
  </si>
  <si>
    <t>Fusível NH de 80 A x 500 W, em porcelana – (Siemens / ETT) ou Similar.</t>
  </si>
  <si>
    <t>Fusível NH de 425 A x 500 W, em porcelana – (Siemens / ETT) ou Similar.</t>
  </si>
  <si>
    <t>Interruptor Interno 1 seção - ref. 1000 - ( Fame / Pial) ou Similar.</t>
  </si>
  <si>
    <t>Interruptor Interno 2 seções - ref. 2000 - ( Fame / Pial) ou Similar.</t>
  </si>
  <si>
    <t>Interruptor Interno 1 seção com tomada - ref. 253 - ( Fame / Pial) ou Similar.</t>
  </si>
  <si>
    <t>Interruptor Simples de 10 A x 250 V – ref. 611110 – uma seção – (Pial ou Similar)</t>
  </si>
  <si>
    <t>Interruptor Simples de 10 A x 250 V – ref. 612100 – duas seções – (Pial ou Similar)</t>
  </si>
  <si>
    <t>Interruptor Simples de 10 A x 250 V – ref. 613100 – duas seções – (Pial ou Similar)</t>
  </si>
  <si>
    <t>Lâmpada Fluorescente de 16 W – (Osram / Phillips / GE) ou Similar.</t>
  </si>
  <si>
    <t>Lâmpada Fluorescente de 20 W - (Osram / Phillips / GE) ou Similar.</t>
  </si>
  <si>
    <t>Lâmpada Fluorescente T5 28 W – Osram / Philips ou Similar.</t>
  </si>
  <si>
    <t>Lâmpada Fluorescente T5 14 W – Osram / Phillips ou Similar.</t>
  </si>
  <si>
    <t>Lâmpada Fluorescente de 32 W - (Osram / Phillips / GE) ou Similar.</t>
  </si>
  <si>
    <t>Lâmpada Incandescente de 25 W - (Osram) ou Similar.</t>
  </si>
  <si>
    <t>Lâmpada Mista de 500 W 220 V - E-40 - (Osram / Phillips / GE) ou Similar.</t>
  </si>
  <si>
    <t>Lâmpada Vapor Metálico de 2000 W.</t>
  </si>
  <si>
    <t>Luminária de emergência 220 V (FLC).</t>
  </si>
  <si>
    <t>Pino Macho sistema padrão linear 10 A Monofásico - ref.: 51070 - (Pial / Fame) ou Similar.</t>
  </si>
  <si>
    <t>Pino tripolar.</t>
  </si>
  <si>
    <t>Reator Eletrônico com Alto Fator de Potência de 1 x 16 W  - (Phillips) ou Similar.</t>
  </si>
  <si>
    <t>Reator Eletrônico com Alto Fator de Potência de 1 x 32 W  - (Phillips) ou Similar.</t>
  </si>
  <si>
    <t>Reator Eletrônico com Alto Fator de Potência de 2 x 16 W  - (Phillips) ou Similar.</t>
  </si>
  <si>
    <t>Reator Eletrônico com Alto Fator de Potência de 2 x 32 W  - A.F.P.  - (Phillips) ou Similar.</t>
  </si>
  <si>
    <t>Reator Eletrônico partida rápida programada EL 214 -35 A26 - (Phillips) ou Similar.</t>
  </si>
  <si>
    <t>Tomada elétrica dupla de embutir – 10ª Pial Legrand ou Similar</t>
  </si>
  <si>
    <t>Tomada elétrica dupla de embutir – 20ª Pial Legrand ou Similar</t>
  </si>
  <si>
    <t>Tomada elétrica simples de embutir – 10ª Pial Legrand ou Similar</t>
  </si>
  <si>
    <t>Tomada elétrica simples de embutir – 20ª Pial Legrand ou Similar</t>
  </si>
  <si>
    <t>Tomada Sistema “X”, 10A – 250 v – Pial Legrand ou Similar.</t>
  </si>
  <si>
    <t>Tomada Sistema “X”, 20A – 250 v – Pial Legrand ou Similar.</t>
  </si>
  <si>
    <t>un.</t>
  </si>
  <si>
    <t>m</t>
  </si>
  <si>
    <t>Valor Unitário</t>
  </si>
  <si>
    <t>Valor Total</t>
  </si>
  <si>
    <t>Bucha de redução de 2 para 1.1/2</t>
  </si>
  <si>
    <t>Bucha de redução de 1.1/2 para 1</t>
  </si>
  <si>
    <t>NIPLE de 2 polegadas de 20</t>
  </si>
  <si>
    <t>NIPLE 2 polegadas de 25</t>
  </si>
  <si>
    <t>NIPLE de 2,5 polegadas</t>
  </si>
  <si>
    <t>Pistão Silent flux referência 03930 – (Fabrimar).</t>
  </si>
  <si>
    <t>Reparo para válvula de descarga – Silente Flux – ref.: 8806 – (Fabrimar).</t>
  </si>
  <si>
    <t>Tampão de 2 polegadas</t>
  </si>
  <si>
    <t>Torneira de bóia de 1.1/2” - (Deca).</t>
  </si>
  <si>
    <t>União de ferro com cone de 2 polegadas</t>
  </si>
  <si>
    <t>União de ferro com cone de 2,5 polegadas</t>
  </si>
  <si>
    <t>Cadeado 30mm - Vonder ou similar</t>
  </si>
  <si>
    <t>Cadeado 40mm - Vonder ou Similar</t>
  </si>
  <si>
    <t>Anzol Nº 4 NIQ. c/ 100 unidades</t>
  </si>
  <si>
    <t>cx.</t>
  </si>
  <si>
    <t>Fio de NYLON Nº 070 c/ 100m</t>
  </si>
  <si>
    <t>Fita Demarcadora 30m</t>
  </si>
  <si>
    <t>Fita Antiderrapante 20m</t>
  </si>
  <si>
    <t>Rolo</t>
  </si>
  <si>
    <t>Fita Zebrada p/isolamento 7cmx100m</t>
  </si>
  <si>
    <t>MATERIAL ELÉTRICO</t>
  </si>
  <si>
    <t>MATERIAL HIDROSSANITÁRIO</t>
  </si>
  <si>
    <t>Aditivo para radiador</t>
  </si>
  <si>
    <t>Eletrodos para solda elétrica</t>
  </si>
  <si>
    <t>Estearina</t>
  </si>
  <si>
    <t>Estopa para limpeza</t>
  </si>
  <si>
    <t>Graxa</t>
  </si>
  <si>
    <t>Lixas de papel e lonadas em diversas gramaturas (80, 100, 120, 150, 200, etc...)</t>
  </si>
  <si>
    <t>Massa para calafetação</t>
  </si>
  <si>
    <t>Óleo lubrificante</t>
  </si>
  <si>
    <t>Parafusos para fixação de tomadas e interruptores</t>
  </si>
  <si>
    <t>Pasta Jóia</t>
  </si>
  <si>
    <t>Porcas para parafusos rosca fina de todos os tipos</t>
  </si>
  <si>
    <t>Pregos comuns em diversos tamanhos</t>
  </si>
  <si>
    <t>Querosene</t>
  </si>
  <si>
    <t>Sacos de tecido (algodão) para limpeza</t>
  </si>
  <si>
    <t>Soda cáustica</t>
  </si>
  <si>
    <t>Vaselina líquida</t>
  </si>
  <si>
    <t>WD para lubrificação e ferrugem</t>
  </si>
  <si>
    <t>Tubo PVC  p/ Esgoto ou Aguas Pluviais  DN 100 mm</t>
  </si>
  <si>
    <t>Tubo PVC  p/ Esgoto ou Aguas Pluviais  DN 150 mm</t>
  </si>
  <si>
    <t>Tubo PVC  p/ Esgoto ou Aguas Pluviais  DN 40 mm</t>
  </si>
  <si>
    <t>Tubo PVC  p/ Esgoto ou Aguas Pluviais  DN 50 mm</t>
  </si>
  <si>
    <t>Tubo PVC  p/ Esgoto ou Aguas Pluviais  DN 75 mm</t>
  </si>
  <si>
    <t xml:space="preserve"> Tubo PVC Roscável  p/água fria D=1 1/2"  </t>
  </si>
  <si>
    <t xml:space="preserve"> Tubo PVC Roscável  p/água fria D=1 1/4"  </t>
  </si>
  <si>
    <t xml:space="preserve"> Tubo PVC Roscável  p/água fria D=1"  </t>
  </si>
  <si>
    <t xml:space="preserve"> Tubo PVC Soldável  p/água fria predial D=20 mm</t>
  </si>
  <si>
    <t xml:space="preserve"> Tubo PVC Soldável  p/água fria predial D=25 mm</t>
  </si>
  <si>
    <t xml:space="preserve"> Tubo PVC Soldável  p/água fria predial D=32 mm</t>
  </si>
  <si>
    <t xml:space="preserve"> Tubo PVC Soldável  p/água fria predial D=40 mm</t>
  </si>
  <si>
    <t xml:space="preserve"> Tubo PVC Soldável  p/água fria predial D=50 mm</t>
  </si>
  <si>
    <t xml:space="preserve"> Tubo PVC Soldável  p/água fria predial D=60 mm</t>
  </si>
  <si>
    <t xml:space="preserve"> Tubo PVC Soldável  p/água fria predial D=75 mm</t>
  </si>
  <si>
    <t xml:space="preserve"> Tubo PVC Soldável  p/água fria predial D=85 mm</t>
  </si>
  <si>
    <t>CABO CONTROLE PVC/PVC VT ESP 3 X 1,5mm² 0,6/1 KV BF</t>
  </si>
  <si>
    <t>Item</t>
  </si>
  <si>
    <t>Descrição</t>
  </si>
  <si>
    <t>Qt</t>
  </si>
  <si>
    <t>P. Unit.</t>
  </si>
  <si>
    <t>P. Total</t>
  </si>
  <si>
    <t>U</t>
  </si>
  <si>
    <t>unid</t>
  </si>
  <si>
    <t xml:space="preserve">LÂMPADA FLUORESCENTE 1 X 75/ 28W + SOQUETE + PRESILHAS  </t>
  </si>
  <si>
    <t xml:space="preserve">LÂMPADA FLUORESCENTE 1 X 75 X 14W + SOQUETE + PRESILHAS </t>
  </si>
  <si>
    <t>CABO CONTROLE AUTOMAÇÃO (2X18 AWG+BF) + (2X16 AWB)</t>
  </si>
  <si>
    <t xml:space="preserve">LAMPADAS PL 26W T4 4 PINOS + SOQUETE </t>
  </si>
  <si>
    <t xml:space="preserve">LUMINARIA PARA LAMPADA 1 X 75/ 28W </t>
  </si>
  <si>
    <t xml:space="preserve">LUMINARIA PARA LAMPADA 2 X T5* 14W </t>
  </si>
  <si>
    <t xml:space="preserve">LUMINARIA LAMPADA PL( 4 PINOS) 2 X T4/ 26W </t>
  </si>
  <si>
    <t>REATOR 2T5-28W</t>
  </si>
  <si>
    <t>REATOR 1T5-28W</t>
  </si>
  <si>
    <t>REATOR 2T5-14W</t>
  </si>
  <si>
    <t>REATORES COMPACTOS</t>
  </si>
  <si>
    <t>SENSOR DE TETO DE OCUPAÇÃO 17,00</t>
  </si>
  <si>
    <t xml:space="preserve">SENSOR DE LUMINOSIDADE </t>
  </si>
  <si>
    <t xml:space="preserve">TECLADOS </t>
  </si>
  <si>
    <t xml:space="preserve">CONTROLE REMOTO </t>
  </si>
  <si>
    <t>CONTROLE REMOTO SEM FIO 4 CENAS 4 5V</t>
  </si>
  <si>
    <t>AMPLIFICADOR DE POTENCIA NOVA 220V-240V</t>
  </si>
  <si>
    <t>GRAFIK EYE QS-CONTROLE DE ILUMINAÇÃO ECOSYSTEM 6 FASES DE ZO</t>
  </si>
  <si>
    <t xml:space="preserve">MODULO DE SENSOR COM E SEM FIO - 434 MHZ </t>
  </si>
  <si>
    <t>CONTROL ENERGY SAVER NDE P/2-LACO DE REATORES ECOSYSTEM</t>
  </si>
  <si>
    <t>DIMERIZAÇÃO</t>
  </si>
  <si>
    <t xml:space="preserve">Lâmpada PL 26W T4 4 PINOS + SOQUETE </t>
  </si>
  <si>
    <t>A licitante deverá apresentar em sua proposta a marca/fabricante do produto cotado para cada item, sob pena de desclassificação do certame licitatório</t>
  </si>
  <si>
    <t>SERVIÇOS EVENTUAIS DE RECONDICIONAMENTO DE MOTORES, BOMBAS E COMPRESSORES</t>
  </si>
  <si>
    <t>lt</t>
  </si>
  <si>
    <t>Arrebites de diversos tamanhos (bitolas)</t>
  </si>
  <si>
    <t>Arruelas lisas (bitolas diversas)</t>
  </si>
  <si>
    <t>Esponja de palha de aço fina – pacote com 08 unidades</t>
  </si>
  <si>
    <t>pct</t>
  </si>
  <si>
    <t xml:space="preserve">Cola branca para madeira, frasco com 500 gramas </t>
  </si>
  <si>
    <t>Cola fórmica,  750 gr</t>
  </si>
  <si>
    <t>Cola para tubos de PVC, tubo c/75 g</t>
  </si>
  <si>
    <t>Cola Super Bonder, 3 g</t>
  </si>
  <si>
    <t>Oculos de Proteção</t>
  </si>
  <si>
    <t>un</t>
  </si>
  <si>
    <t>Detergente amoníaco, frasco 2 litros.</t>
  </si>
  <si>
    <t>Detergente comum para limpeza, 500 ml</t>
  </si>
  <si>
    <t xml:space="preserve">Discos para serra circular para corte de cerâmica ou madeira, tipo makita </t>
  </si>
  <si>
    <t>Durepox, cartela 100 g</t>
  </si>
  <si>
    <t>Cola araldite, cartela c/40 gramas</t>
  </si>
  <si>
    <t>kg</t>
  </si>
  <si>
    <t>Fita adesiva dupla face, 24mm x 1m</t>
  </si>
  <si>
    <t>Fita Isolante adesiva anti-chama em rolo de 19 mm x 10 m</t>
  </si>
  <si>
    <t>Manta asfáltica, tipo torodin, 3 mm</t>
  </si>
  <si>
    <t>m²</t>
  </si>
  <si>
    <t>m³</t>
  </si>
  <si>
    <t>pç</t>
  </si>
  <si>
    <t>Pedaços de espuma (20 x 40 cm)</t>
  </si>
  <si>
    <t>Rolo de lã de carneiro p/pintura inclusive suporte</t>
  </si>
  <si>
    <t>Desentupidor de pia</t>
  </si>
  <si>
    <t>Desentupidor de vaso</t>
  </si>
  <si>
    <t>Protetor auricular</t>
  </si>
  <si>
    <t>Luva em couro de vaqueta para serviços pesados e manuseio de ferramentas</t>
  </si>
  <si>
    <t>Sabão líquido, frasco de 500 ml</t>
  </si>
  <si>
    <t>Água destilada ou solução p/ baterias</t>
  </si>
  <si>
    <t>Fita veda rosca (fita teflon), 18mmx10m</t>
  </si>
  <si>
    <t>Água Raz/solvente, 900 ml</t>
  </si>
  <si>
    <t>Confecção de mancal</t>
  </si>
  <si>
    <t>Conserto de bombas de 5 cv</t>
  </si>
  <si>
    <t xml:space="preserve">Rebobinamento de motor  3 cv, com substituição de rolamentos </t>
  </si>
  <si>
    <t xml:space="preserve">Rebobinamento de motor 1,5 cv, com substituição de rolamentos </t>
  </si>
  <si>
    <t xml:space="preserve">Rebobinamento de motor 10 cv, com substituição de rolamentos </t>
  </si>
  <si>
    <t xml:space="preserve">Rebobinamento de motor 20 cv, com substituição de rolamentos </t>
  </si>
  <si>
    <t xml:space="preserve">Rebobinamento de motor 30 cv, com substituição de rolamentos </t>
  </si>
  <si>
    <t xml:space="preserve">Rebobinamento de motor 40 cv, com substituição de rolamentos </t>
  </si>
  <si>
    <t xml:space="preserve">Rebobinamento de motor 5,0 a 8,2 cv, com substituição de rolamentos </t>
  </si>
  <si>
    <t xml:space="preserve">Rebobinamento de motor 50 cv, com substituição de rolamentos </t>
  </si>
  <si>
    <t xml:space="preserve">Rebobinamento de motor 60 cv, com substituição de rolamentos </t>
  </si>
  <si>
    <t>Conserto de bombas c/coluna</t>
  </si>
  <si>
    <t>Recondicionamento de compressor de 10 TR</t>
  </si>
  <si>
    <t>Recondicionamento de compressor de 15 TR</t>
  </si>
  <si>
    <t>Recondicionamento de compressor de 20 TR</t>
  </si>
  <si>
    <t>Recondicionamento de compressor de 5,5 TR</t>
  </si>
  <si>
    <t>Recondicionamento de compressor de 7,5 TR</t>
  </si>
  <si>
    <t>Troca de rolamento e retifica de eixo motor 10 CV</t>
  </si>
  <si>
    <t>Troca de rolamento e retifica de eixo motor 20 CV</t>
  </si>
  <si>
    <t>Troca de rolamento e retifica de eixo motor 30 CV</t>
  </si>
  <si>
    <t>Troca de rolamento e retifica de eixo motor 40 CV</t>
  </si>
  <si>
    <t>Troca de rolamento e retifica de eixo motor 50 CV</t>
  </si>
  <si>
    <t>Troca de rolamento e retifica de eixo motor 60 CV</t>
  </si>
  <si>
    <t>Troca de rolamento e retifica de eixo motor 75 CV</t>
  </si>
  <si>
    <t>MATERIAL ELÉTRICO UTILIZADO NA DIMERIZAÇÃO DAS LUMINÁRIAS, MARCA LUTRON, A SER EVENTUALMENTE DEMANDADO  NO 2º ANO DE CONTRATO</t>
  </si>
  <si>
    <t>Terminal p/cabo elétrico, bitolas variáveis, preço médio.</t>
  </si>
  <si>
    <t>Trincha/pincel nº 2</t>
  </si>
  <si>
    <t>Microondas</t>
  </si>
  <si>
    <t>Umificador</t>
  </si>
  <si>
    <t>Máquina de café</t>
  </si>
  <si>
    <t>Aparelho  de TV</t>
  </si>
  <si>
    <t>Fogão a gás</t>
  </si>
  <si>
    <t>Circulador de ar</t>
  </si>
  <si>
    <t>Bebedouro d’água</t>
  </si>
  <si>
    <t>Joelho 90° de PVC p/ Esgoto ou Aguas Pluviais  DN 150 mm</t>
  </si>
  <si>
    <t>Joelho 90° de PVC p/ Esgoto ou Aguas Pluviais  DN 100 mm</t>
  </si>
  <si>
    <t>Joelho 90° de PVC p/ Esgoto ou Aguas Pluviais  DN 75 mm</t>
  </si>
  <si>
    <t>Joelho 90° de PVC p/ Esgoto ou Aguas Pluviais  DN 50 mm</t>
  </si>
  <si>
    <t>Joelho 90° de PVC p/ Esgoto ou Aguas Pluviais  DN 40 mm</t>
  </si>
  <si>
    <t>Joelho 90° PVC Soldável  p/água fria predial D=85 mm</t>
  </si>
  <si>
    <t>Joelho 90° Soldável  p/água fria predial D=75 mm</t>
  </si>
  <si>
    <t>Joelho 90° Soldável  p/água fria predial D=60 mm</t>
  </si>
  <si>
    <t>Joelho 90° Soldável  p/água fria predial D=50 mm</t>
  </si>
  <si>
    <t>Joelho 90° Soldável  p/água fria predial D=40 mm</t>
  </si>
  <si>
    <t>Joelho 90° Soldável  p/água fria predial D=32 mm</t>
  </si>
  <si>
    <t>Joelho 90° Soldável  p/água fria predial D=25 mm</t>
  </si>
  <si>
    <t>Joelho 90° Soldável  p/água fria predial D=20 mm</t>
  </si>
  <si>
    <t xml:space="preserve">Rebobinamento de transformador de 30 kWA </t>
  </si>
  <si>
    <t xml:space="preserve">Motor elétrico do ventilador do evaporador </t>
  </si>
  <si>
    <t xml:space="preserve">Motor elétrico do ventilador do condensador </t>
  </si>
  <si>
    <t xml:space="preserve">Mancal  </t>
  </si>
  <si>
    <t xml:space="preserve">Termostato  </t>
  </si>
  <si>
    <t xml:space="preserve">R-22  </t>
  </si>
  <si>
    <t xml:space="preserve">Nitrogênio </t>
  </si>
  <si>
    <t xml:space="preserve">Serpentina do evaporador  </t>
  </si>
  <si>
    <t xml:space="preserve">Serpentina do condensador  </t>
  </si>
  <si>
    <t xml:space="preserve">Válvula de expansão termostática com equalizador externo para R22 5 TRs  </t>
  </si>
  <si>
    <t xml:space="preserve">Pressostato de óleo  </t>
  </si>
  <si>
    <t xml:space="preserve">Pressostato de alta e baixa  </t>
  </si>
  <si>
    <t xml:space="preserve">Visor de líqudo  </t>
  </si>
  <si>
    <t>Rolamento</t>
  </si>
  <si>
    <t xml:space="preserve">Fusível  </t>
  </si>
  <si>
    <t xml:space="preserve">Filtro secador st 210x1/2”  </t>
  </si>
  <si>
    <t xml:space="preserve">Correia  </t>
  </si>
  <si>
    <t xml:space="preserve">Relé  </t>
  </si>
  <si>
    <t xml:space="preserve">Contator  </t>
  </si>
  <si>
    <t xml:space="preserve">Filtro de ar lavável  </t>
  </si>
  <si>
    <t xml:space="preserve">Válvula de serviço  </t>
  </si>
  <si>
    <t>Bóia para nível inferior de caixa d’água de acionamento automático elétrico com 20 A.</t>
  </si>
  <si>
    <t>Bóia para nível superior de caixa d’água de acionamento automático elétrico com 20 A.</t>
  </si>
  <si>
    <t>Bucha de nylon com parafusos S-6 - (Fischer).</t>
  </si>
  <si>
    <t>Bucha de nylon com parafusos S-8 - (Fischer).</t>
  </si>
  <si>
    <t>SOMA 1</t>
  </si>
  <si>
    <t>SOMA 2</t>
  </si>
  <si>
    <t>SOMA 3</t>
  </si>
  <si>
    <t>SOMA 4</t>
  </si>
  <si>
    <t>SOMA 5</t>
  </si>
  <si>
    <t>SOMA 6</t>
  </si>
  <si>
    <t>MATERIAL AR CONDICIONADO ALTA PRECISÃO NOBREAK</t>
  </si>
  <si>
    <t xml:space="preserve">Compressor bitzer frigor semi-hermético 5,5 TR, 380 V trifásico </t>
  </si>
  <si>
    <t>EVENTUAIS CONSERTO DE  MOTORES/BOMBAS</t>
  </si>
  <si>
    <t>EVENTUAIS CONSERTO DE EQUIPAMENTOS ELETRICOS/ELETRODOMESTICOS</t>
  </si>
  <si>
    <t>h</t>
  </si>
  <si>
    <t>Serralheiro</t>
  </si>
  <si>
    <t>Pedreiro</t>
  </si>
  <si>
    <t>Ajudante de pedreiro</t>
  </si>
  <si>
    <t xml:space="preserve">h </t>
  </si>
  <si>
    <t>Impermeabilizador</t>
  </si>
  <si>
    <t>Pintor</t>
  </si>
  <si>
    <t>Gesseiro</t>
  </si>
  <si>
    <t>Eletromecanico de ar condicionado</t>
  </si>
  <si>
    <t>Ajudante de Eletromecanico de ar condicionado</t>
  </si>
  <si>
    <t>Reparo para descarga automática/sensor elétrico para mictório Deca</t>
  </si>
  <si>
    <t>PLUG de 1 polegada</t>
  </si>
  <si>
    <t>Sifão metálico de 32x32x30 cm</t>
  </si>
  <si>
    <t xml:space="preserve">Reparo para valvula de descarga, dupla, fabrimar. </t>
  </si>
  <si>
    <t>MINISTÉRIO DE MINAS E ENERGIA</t>
  </si>
  <si>
    <t>Secretaria Executiva</t>
  </si>
  <si>
    <t>Subsecretaria de Planejamento, Orçamento e Administração</t>
  </si>
  <si>
    <t>Coordenação Geral de Recursos Logísticos</t>
  </si>
  <si>
    <t>Coordenação de Atividades Gerais</t>
  </si>
  <si>
    <t>A</t>
  </si>
  <si>
    <t xml:space="preserve">Data de apresentação da proposta (dia/mês/ano) </t>
  </si>
  <si>
    <t>B</t>
  </si>
  <si>
    <t xml:space="preserve">Município/UF </t>
  </si>
  <si>
    <t>Brasília/DF</t>
  </si>
  <si>
    <t>C</t>
  </si>
  <si>
    <t>D</t>
  </si>
  <si>
    <t>Tipo de Serviço</t>
  </si>
  <si>
    <t>Unidade de Medida</t>
  </si>
  <si>
    <t>Posto</t>
  </si>
  <si>
    <t>Mão-de-obra vinculada à execução contratual</t>
  </si>
  <si>
    <t>Dados complementares para composição dos custos referente à mão-de-obra</t>
  </si>
  <si>
    <t>Tipo de serviço (mesmo serviço com características distintas)</t>
  </si>
  <si>
    <t>Categoria profissional (vinculada à execução contratual)</t>
  </si>
  <si>
    <t>Composição da Remuneração</t>
  </si>
  <si>
    <t>Valor (R$)</t>
  </si>
  <si>
    <t>Salário Base</t>
  </si>
  <si>
    <t>E</t>
  </si>
  <si>
    <t>F</t>
  </si>
  <si>
    <t>G</t>
  </si>
  <si>
    <t>H</t>
  </si>
  <si>
    <t>Total da Remuneração</t>
  </si>
  <si>
    <t>Insumos Diversos</t>
  </si>
  <si>
    <t>Uniformes</t>
  </si>
  <si>
    <t>4.1</t>
  </si>
  <si>
    <t>%</t>
  </si>
  <si>
    <t>INSS</t>
  </si>
  <si>
    <t>SENAI ou SENAC</t>
  </si>
  <si>
    <t>INCRA</t>
  </si>
  <si>
    <t>FGTS</t>
  </si>
  <si>
    <t>SEBRAE</t>
  </si>
  <si>
    <t>4.2</t>
  </si>
  <si>
    <t>Provisão para Rescisão</t>
  </si>
  <si>
    <t>Custos Indiretos, Tributos e Lucro</t>
  </si>
  <si>
    <t>Custos Indiretos</t>
  </si>
  <si>
    <t>Tributos</t>
  </si>
  <si>
    <t>Total</t>
  </si>
  <si>
    <t>Mão-de-obra vinculada à execução contratual (valor por empregado)</t>
  </si>
  <si>
    <t>(R$)</t>
  </si>
  <si>
    <t>Valor total por empregado</t>
  </si>
  <si>
    <t>Adicional  de periculosidade (30% - Lei 7.369 de 20 de setembro de 1985 - Decreto Nº 93.412,de 14/10/1986)</t>
  </si>
  <si>
    <t>Técnico em Eletrônica</t>
  </si>
  <si>
    <t>Especificação</t>
  </si>
  <si>
    <t>Alicate amperímetro 0 a 600 A – SK‑7200 – ICEL – KAISE</t>
  </si>
  <si>
    <t>Alicate bico de papagaio</t>
  </si>
  <si>
    <t>Alicate de corte</t>
  </si>
  <si>
    <t>Alicate de pressão</t>
  </si>
  <si>
    <t>Alicate universal com cabo isolado</t>
  </si>
  <si>
    <t>Canivete ou estilete para eletricista</t>
  </si>
  <si>
    <t>Conjunto de chaves de fenda, bitolas diversas.</t>
  </si>
  <si>
    <t>Conjunto de chaves fenda Phillips, bitolas diversas.</t>
  </si>
  <si>
    <t>Colher p/ pedreiro</t>
  </si>
  <si>
    <t>Conjuntos de chaves tipo Cachimbo</t>
  </si>
  <si>
    <t>Desempenadeira de aço dentada</t>
  </si>
  <si>
    <t>Desempenadeira plástica medindo 14cm x 27cm</t>
  </si>
  <si>
    <t>Escada de alumínio de 10 degraus</t>
  </si>
  <si>
    <t>Escada de alumínio de 14 degraus</t>
  </si>
  <si>
    <t>Escova em aço tamanho médio</t>
  </si>
  <si>
    <t>Fasímetro classe 1 + Meggar 1.000 megaonhms 600 VDC</t>
  </si>
  <si>
    <t>Lanterna para 03 pilhas grandes</t>
  </si>
  <si>
    <t>Martelo de unha com 300g</t>
  </si>
  <si>
    <t>Pé de cabra</t>
  </si>
  <si>
    <t>Saca fusível NH</t>
  </si>
  <si>
    <t>Qdade</t>
  </si>
  <si>
    <t>Extensão elétrica com 30 m</t>
  </si>
  <si>
    <t>TOTAL GERAL ANUAL</t>
  </si>
  <si>
    <t>TOTAL GERAL MENSAL/EMPREGADO</t>
  </si>
  <si>
    <t>Salário Base (1/4 x 44 hs/semana) - 11 hs/semana</t>
  </si>
  <si>
    <t>Tipo de serviço</t>
  </si>
  <si>
    <t>Qtde de empregados por posto</t>
  </si>
  <si>
    <t>Qtde de postos</t>
  </si>
  <si>
    <t>(A)</t>
  </si>
  <si>
    <t>(B)</t>
  </si>
  <si>
    <t>(C)</t>
  </si>
  <si>
    <t>(D) = (B x C)</t>
  </si>
  <si>
    <t>(E)</t>
  </si>
  <si>
    <t>(F) = (D x E)</t>
  </si>
  <si>
    <t>I</t>
  </si>
  <si>
    <t>II</t>
  </si>
  <si>
    <t>III</t>
  </si>
  <si>
    <t>Anexo III-D - Quadro - demonstrativo - VALOR GLOBAL DA PROPOSTA</t>
  </si>
  <si>
    <t>Valor Global da Proposta</t>
  </si>
  <si>
    <t>A1</t>
  </si>
  <si>
    <t>A2</t>
  </si>
  <si>
    <t>A3</t>
  </si>
  <si>
    <t>Valor mensal do serviço</t>
  </si>
  <si>
    <t>IV</t>
  </si>
  <si>
    <t>V</t>
  </si>
  <si>
    <t>VI</t>
  </si>
  <si>
    <t>VII</t>
  </si>
  <si>
    <t>IX</t>
  </si>
  <si>
    <t>X</t>
  </si>
  <si>
    <t>XI</t>
  </si>
  <si>
    <t>A4</t>
  </si>
  <si>
    <t>A5</t>
  </si>
  <si>
    <t>A6</t>
  </si>
  <si>
    <t>A7</t>
  </si>
  <si>
    <t>A8</t>
  </si>
  <si>
    <t>A9</t>
  </si>
  <si>
    <t>A10</t>
  </si>
  <si>
    <t>A11</t>
  </si>
  <si>
    <t>VALOR TOTAL DOS SERVIÇOS (MÃO DE OBRA + MATERIAIS)</t>
  </si>
  <si>
    <t>Mão de Obra</t>
  </si>
  <si>
    <t xml:space="preserve">Materiais </t>
  </si>
  <si>
    <t xml:space="preserve"> TOTAL GERAL ANUAL</t>
  </si>
  <si>
    <t xml:space="preserve"> TOTAL MENSAL</t>
  </si>
  <si>
    <t>ANEXO "A"</t>
  </si>
  <si>
    <t>MATERIAL/COMPONENTES  NOBREAK</t>
  </si>
  <si>
    <t>Bloco IGBT</t>
  </si>
  <si>
    <t>Placa eletronica</t>
  </si>
  <si>
    <t>Bateria</t>
  </si>
  <si>
    <t>SOMA 7</t>
  </si>
  <si>
    <t>MATERIAL GRUPO GERADOR</t>
  </si>
  <si>
    <t>Filtro de óleo diesel ref. 1763776 (704825)</t>
  </si>
  <si>
    <t>Pré filtro diesel ref. 1393640 (40853/1-00)</t>
  </si>
  <si>
    <t>Anti corrosivo para água</t>
  </si>
  <si>
    <t>Óleo lubrificante ref. B/01561-8-D</t>
  </si>
  <si>
    <t>Óleo lubrificante ref. CI4</t>
  </si>
  <si>
    <t>Bateria estacionária,  100 A/hr</t>
  </si>
  <si>
    <t>Unid</t>
  </si>
  <si>
    <t>Alavanca de aço liso de 7/8" por 1,80m</t>
  </si>
  <si>
    <t>Alicate de bico</t>
  </si>
  <si>
    <t>Alicate Pop (Arrebitadeira)</t>
  </si>
  <si>
    <t>Arco de serra regulável, de 8" a 12"</t>
  </si>
  <si>
    <t>Aspirador de pó e de água semi-industrial</t>
  </si>
  <si>
    <t>Bomba engraxadora, pequena.</t>
  </si>
  <si>
    <t>Cavadeira de boca, cabo de madeira.</t>
  </si>
  <si>
    <t>Conjunto de chaves combinada (boca/estrela), várias bitolas.</t>
  </si>
  <si>
    <t>Conjunto de espátulas, bitolas diversas</t>
  </si>
  <si>
    <t>Conjunto de Serra Copo p/ madeira de ½" a 3"</t>
  </si>
  <si>
    <t>Escada de alumínio 5 degraus</t>
  </si>
  <si>
    <t>Escada de alumínio 7 degraus</t>
  </si>
  <si>
    <t>Escada de madeira de 5 degraus</t>
  </si>
  <si>
    <t>Estilete profissional</t>
  </si>
  <si>
    <t>Jogo</t>
  </si>
  <si>
    <t>Jogo de chaves de boca de 6 a 22 mm</t>
  </si>
  <si>
    <t>jogo</t>
  </si>
  <si>
    <t>Martelo de borracha tipo borracheiro com cabo</t>
  </si>
  <si>
    <t>Serra para esquadria manual</t>
  </si>
  <si>
    <t>Serra tico-tico 450W</t>
  </si>
  <si>
    <t>Trena metálica, 10 metros</t>
  </si>
  <si>
    <t>Botijão GLP, 13 kg</t>
  </si>
  <si>
    <t>TOTAL GERAL MENSAL</t>
  </si>
  <si>
    <t xml:space="preserve">PLANILHA  ANUAL, COM ESTIMATIVA DE CUSTO, P/MATERIAIS E PEÇAS DE REPOSIÇÃO, EVENTUAIS CONSERTO DE MOTORES/BOMBAS E EQUIPAMENTOS ELETRICOS/ELETRODOMESTICOS -  PRESTAÇÃO DE SERVIÇOS TÉCNICOS DE MANUTENÇÃO PREDIAL </t>
  </si>
  <si>
    <t>Durepoxi, cartela 100 g</t>
  </si>
  <si>
    <t xml:space="preserve">Bucha de nylon com parafusos S-6 </t>
  </si>
  <si>
    <t xml:space="preserve">Bucha de nylon com parafusos S-8 </t>
  </si>
  <si>
    <t xml:space="preserve">Impermeabilizador </t>
  </si>
  <si>
    <t>Ajudante geral</t>
  </si>
  <si>
    <t xml:space="preserve">MÃO DE OBRA AUXILIAR ESPORÁDICA </t>
  </si>
  <si>
    <t xml:space="preserve"> ESTIMATIVA TOTAL MENSAL </t>
  </si>
  <si>
    <t>Conserto de bombas de 5 CV</t>
  </si>
  <si>
    <t xml:space="preserve">Rebobinamento de motor  3 CV, com substituição de rolamentos </t>
  </si>
  <si>
    <t xml:space="preserve">Rebobinamento de motor 1,5 CV, com substituição de rolamentos </t>
  </si>
  <si>
    <t xml:space="preserve">Rebobinamento de motor 10 CV, com substituição de rolamentos </t>
  </si>
  <si>
    <t xml:space="preserve">Rebobinamento de motor 20 CV, com substituição de rolamentos </t>
  </si>
  <si>
    <t xml:space="preserve">Rebobinamento de motor 30 CV, com substituição de rolamentos </t>
  </si>
  <si>
    <t>Cabo PP de 3 x 2,5 mm2, antichama, isolamento até 01 kV - (Condumax / Reiplás) ou Similar.</t>
  </si>
  <si>
    <t>Torneira bica móvel de parede Ø 1/2”</t>
  </si>
  <si>
    <t xml:space="preserve">Rebobinamento de motor 5 a 8,2 CV, com substituição de rolamentos </t>
  </si>
  <si>
    <t>Mangueira (Borracha),do Filtro de Óleo Diesel - 1 278474</t>
  </si>
  <si>
    <t>Mangueira (Borracha) de Pressão Radiador - 1 297394</t>
  </si>
  <si>
    <t xml:space="preserve">Kit de Manutenção S/M/Com Pré Filtro Separador De Agua - 1 562889 </t>
  </si>
  <si>
    <t>Tubo Plástico 12x1 5(Std 1840) Radiador - 1 813869</t>
  </si>
  <si>
    <t>Motor de Partida - 1 1358639</t>
  </si>
  <si>
    <t>Mangueira/Retorno do Óleo Diesel - 1 1375602</t>
  </si>
  <si>
    <t>Mangueira de Borracha/ do Dreno do Óleo Diesel -1 1376226</t>
  </si>
  <si>
    <t>Abraçadeira V (Flange/Turbo) -1 1380137</t>
  </si>
  <si>
    <t>Elemento do Filtro de Ar -1 1421021</t>
  </si>
  <si>
    <t>Abraçadeira para Radiador - 1 1466073</t>
  </si>
  <si>
    <t>Abraçadeira para Descarga - 1 1466105</t>
  </si>
  <si>
    <t>Tubo De Retorno/ Do Óleo Diesel - 1 1518989</t>
  </si>
  <si>
    <t>Tensor de Correia do Motor -1 1859654</t>
  </si>
  <si>
    <t>Válvula de Alivio para Agua do Radiador - 1 1917514</t>
  </si>
  <si>
    <t>Câmara de Escape/ do Motor - 1 1943501</t>
  </si>
  <si>
    <t>Mangueira 3/8 - Borracha (Sistema de Arrefecimento, Radiador/Vibração) - 1 561408</t>
  </si>
  <si>
    <t>Valor proposto por empregado (R$)</t>
  </si>
  <si>
    <t>Valor proposto por posto (R$)</t>
  </si>
  <si>
    <t>Valor total do serviço (R$)</t>
  </si>
  <si>
    <t xml:space="preserve"> Quadro-resumo – VALOR MENSAL DOS SERVIÇOS</t>
  </si>
  <si>
    <t>Mensal  (R$)</t>
  </si>
  <si>
    <t>Conserto de compressor de ar comprimido</t>
  </si>
  <si>
    <t>Areia saibrosa</t>
  </si>
  <si>
    <t>Areia lavada de rio</t>
  </si>
  <si>
    <t>Cimento comum, saco 50 kg</t>
  </si>
  <si>
    <t>Tinta latex acrília, lata 18 lts</t>
  </si>
  <si>
    <t>Massa PVA,  lata 18 lts</t>
  </si>
  <si>
    <t>Gesso em pó</t>
  </si>
  <si>
    <t>Tinta esmalte, galão 3,6 lts</t>
  </si>
  <si>
    <t>Gesso em placas de 60 x 60 cm, 12 mm</t>
  </si>
  <si>
    <t>Redutor de vazão para torneira automática Deca</t>
  </si>
  <si>
    <t>Aço para construção CA 50 5/16"</t>
  </si>
  <si>
    <t>Aditivo para radiador motor diesel</t>
  </si>
  <si>
    <t>Desentupidor de vaso sanitário</t>
  </si>
  <si>
    <t>Protetor auricular interno</t>
  </si>
  <si>
    <t>Tomada elétrica dupla de embutir – 10 A Pial Legrand ou Similar</t>
  </si>
  <si>
    <t>Tomada elétrica dupla de embutir – 20 A Pial Legrand ou Similar</t>
  </si>
  <si>
    <t>Tomada elétrica simples de embutir – 10 A Pial Legrand ou Similar</t>
  </si>
  <si>
    <t>Tomada elétrica simples de embutir – 20 A Pial Legrand ou Similar</t>
  </si>
  <si>
    <t>Bucha de redução de 1.1/2" para 1" PVC</t>
  </si>
  <si>
    <t>Bucha de redução de 2" para 1.1/2" PVC</t>
  </si>
  <si>
    <t>Máquina de café elétrica</t>
  </si>
  <si>
    <t>Forno de microondas</t>
  </si>
  <si>
    <t xml:space="preserve">Aparelho de TV, tela plana (LED  e LCD) , 42'' </t>
  </si>
  <si>
    <t>Refrigerador (geladeira) convencional ou freeze</t>
  </si>
  <si>
    <t xml:space="preserve">EVENTUAIS CONSERTO DE EQUIPAMENTOS ELETRICOS/ELETRODOMESTICOS </t>
  </si>
  <si>
    <t>Encarregado</t>
  </si>
  <si>
    <t>Técnico Especializado Grupo Gerador</t>
  </si>
  <si>
    <t>Categoria Profissional</t>
  </si>
  <si>
    <t>Tipo de Uniforme</t>
  </si>
  <si>
    <t>Quant. Funcionário</t>
  </si>
  <si>
    <t>Total Peças</t>
  </si>
  <si>
    <t>Calça social, cor azul marinho, 74 % poliéster e 26 % viscose.</t>
  </si>
  <si>
    <t>Cinto de couro cor preta</t>
  </si>
  <si>
    <t xml:space="preserve">Par de sapatos social, cor preta, solado de borracha. </t>
  </si>
  <si>
    <t>Par de meias, social, cor preta/azul., em tecido 79% algodão, 20% poliamida e 1% elastano.</t>
  </si>
  <si>
    <t>Calça social, cor azul marinho.</t>
  </si>
  <si>
    <t>Camisa social de manga curta, cor azul claro, com a logomarca da contratada.</t>
  </si>
  <si>
    <t>Par de sapatos social cor preta, solado de borracha.</t>
  </si>
  <si>
    <t>Par de meias, social cor preta/azul.</t>
  </si>
  <si>
    <t>Calça jeans, tradicional, cor azul.</t>
  </si>
  <si>
    <t>Camisa polo, azul claro, com a logomarca da contratada.</t>
  </si>
  <si>
    <t>Cinto de couro, cor preta.</t>
  </si>
  <si>
    <t>Par de sapatos, profissional, de couro, solado de borracha.</t>
  </si>
  <si>
    <t>Par de meias, de algodão, cor clara.</t>
  </si>
  <si>
    <t>Cinto de couro, feminino, cor preta.</t>
  </si>
  <si>
    <t>Par de sapatos, profissional, de couro, solado de borracha, feminino.</t>
  </si>
  <si>
    <t>VIII</t>
  </si>
  <si>
    <t xml:space="preserve"> ESTIMATIVA TOTAL ANUAL</t>
  </si>
  <si>
    <t>ESTIMATIVA TOTAL GERAL ANUAL</t>
  </si>
  <si>
    <t>DISCRIMINAÇÃO DOS SERVIÇOS (DADOS REFERENTES À CONTRATAÇÃO)</t>
  </si>
  <si>
    <t>IDENTIFICAÇÃO DO SERVIÇO</t>
  </si>
  <si>
    <t>1. MODULOS</t>
  </si>
  <si>
    <t>Classificação Brasileira de Ocupações (CBO)</t>
  </si>
  <si>
    <t>Salário Normativo da Categoria Profissional/CCT2018</t>
  </si>
  <si>
    <t xml:space="preserve">Adicional  de Insalubridade </t>
  </si>
  <si>
    <t>Adicional Noturno</t>
  </si>
  <si>
    <t>Adicional de Hora Noturna Reduzida</t>
  </si>
  <si>
    <t xml:space="preserve">Outros </t>
  </si>
  <si>
    <t>MÓDULO 2:   ENCARGOS E BENEFÍCIOS ANUAIS, MENSAIS E DIÁRIOS</t>
  </si>
  <si>
    <t>Submódulo 2.1 - 13º (décimo teceiro) Salário, Férias e Adicional de Férias</t>
  </si>
  <si>
    <t>2.1</t>
  </si>
  <si>
    <t>13º (décimo teceiro) Salário, Férias e Adicional de Férias</t>
  </si>
  <si>
    <t>13º (décimo terceiro) Salário</t>
  </si>
  <si>
    <t>Submódulo 2.2 - Encargos Previdenciários (GPS), Fundo de Garantia por Tempo de Serviço (FGTS) e outras contribuições</t>
  </si>
  <si>
    <t>2.2</t>
  </si>
  <si>
    <t>GPS, FGTS e outras contribuições</t>
  </si>
  <si>
    <t>Percentual (%)</t>
  </si>
  <si>
    <t xml:space="preserve">Salário Educação </t>
  </si>
  <si>
    <t xml:space="preserve">SAT - Seguro de Acidente do Trabalho </t>
  </si>
  <si>
    <t>SESC ou SESI</t>
  </si>
  <si>
    <t>Submódulo 2.3 - Benefícios Mensais e Diários</t>
  </si>
  <si>
    <t>2.3</t>
  </si>
  <si>
    <t>Benefícios Mensais e Diários</t>
  </si>
  <si>
    <t xml:space="preserve">Auxílio creche </t>
  </si>
  <si>
    <t>Encargos e Benefícios Anuais, Mensais e Diários</t>
  </si>
  <si>
    <t>13º (décimo terceiro) Salário, Férias e Adicional de Férias</t>
  </si>
  <si>
    <t>Incidência do FGTS sobre o Aviso Prévio Indenizado (8% x 0,417%)</t>
  </si>
  <si>
    <t>Custo de Reposição do Profissional Ausente</t>
  </si>
  <si>
    <t>Outros (especificar</t>
  </si>
  <si>
    <t xml:space="preserve">Lucro  (Estudo TCU - TC 025.990/2008-2) </t>
  </si>
  <si>
    <t>2. QUADRO-RESUMO DO CUSTO POR EMPREGADO</t>
  </si>
  <si>
    <t>Subtotal (A + B +C+ D+E)</t>
  </si>
  <si>
    <t>Prestação de serviços de manutenção preventiva e corretiva, de forma continuada, com dedicação exclusiva de mão-de-obra e fornecimento de materiais, nas instalações elétricas e hidrossanitárias prediais, inclusive de prevenção e combate a incêndio e grupo gerador de emergência, no Bloco “U” da Esplanada dos Ministérios, sedes dos Ministérios de Minas e Energia, e do Turismo, Brasília/DF, com área construída de 26.697,35 m2”</t>
  </si>
  <si>
    <t>Data base da categoria (dia/mês/ano) - Vigência  01º de maio de 2017 a 30 de abril de 2019</t>
  </si>
  <si>
    <t>2143-45</t>
  </si>
  <si>
    <t>Data base da categoria (dia/mês/ano) - Vigência  1º de janeiro de 2018 a 31 de dezembro de 2018</t>
  </si>
  <si>
    <t>Materiais (mediante planilha a parte, na forma de ressarcimento)</t>
  </si>
  <si>
    <t>Equipamentos/ferramentas (valor total rateado entre 20 funcionários)</t>
  </si>
  <si>
    <t xml:space="preserve"> 3132-15</t>
  </si>
  <si>
    <t xml:space="preserve">Tipo de serviço (mesmo serviço com características distintas) </t>
  </si>
  <si>
    <t xml:space="preserve"> 9511-05</t>
  </si>
  <si>
    <t xml:space="preserve"> 7241-10</t>
  </si>
  <si>
    <t>Salário Base - 44 hs/semana - 12x36 hs</t>
  </si>
  <si>
    <t>Salário Base - 44 hs/semana</t>
  </si>
  <si>
    <t xml:space="preserve"> 7156-15</t>
  </si>
  <si>
    <t xml:space="preserve"> Auxiliar administrativo</t>
  </si>
  <si>
    <t xml:space="preserve"> 3115-05</t>
  </si>
  <si>
    <t>3131-15</t>
  </si>
  <si>
    <t>Valor proposto por Posto de Serviço</t>
  </si>
  <si>
    <t>Unit. Médio</t>
  </si>
  <si>
    <t>Preço (R$)</t>
  </si>
  <si>
    <t>Forn. 1</t>
  </si>
  <si>
    <t>Forn.2</t>
  </si>
  <si>
    <t>Unit.</t>
  </si>
  <si>
    <t>Total/Categoria/Mês</t>
  </si>
  <si>
    <t xml:space="preserve"> 9143-05</t>
  </si>
  <si>
    <t>Eletricista, Bombeiro, Plantonista, Artifice-Marceneiro e Ajudante</t>
  </si>
  <si>
    <t>Manutenção de instalações eletricas e hidrossanitárias prediais</t>
  </si>
  <si>
    <t xml:space="preserve">Ano do Acordo, Convenção ou Dissídio Coletivo  </t>
  </si>
  <si>
    <t>Salário Normativo da Categoria Profissional/CCT2018 (para 8hs/dia)</t>
  </si>
  <si>
    <t>Férias e Adicional de Férias</t>
  </si>
  <si>
    <t>Data base da categoria (dia/mês/ano) - Vigência:   1º de maio de 2018 a 30 de abril de 2019</t>
  </si>
  <si>
    <t>Manutenção de instalações e equipamentos eletroeletronicos</t>
  </si>
  <si>
    <t>01 de maio</t>
  </si>
  <si>
    <t>1º de maio</t>
  </si>
  <si>
    <t>01 de janeiro</t>
  </si>
  <si>
    <t>Manutenção eletromecânica de Grupo Gerador</t>
  </si>
  <si>
    <t xml:space="preserve"> Técnico(a) Eletromecânico de Grupo Gerador</t>
  </si>
  <si>
    <t>Manutenção de instalações elétricas</t>
  </si>
  <si>
    <t>Manutenção de instalações hidrossanitárias</t>
  </si>
  <si>
    <t>Manutenção de divisórias, forros, pisos, mobiliário, etc...</t>
  </si>
  <si>
    <t xml:space="preserve"> Ajudante de manutenção predial</t>
  </si>
  <si>
    <t>01 de janeiro de 2018</t>
  </si>
  <si>
    <t>Técnico(a) Administrativo(a)</t>
  </si>
  <si>
    <t>Capacete de segurança</t>
  </si>
  <si>
    <t>Carrinho de mão, com pneu de borracha</t>
  </si>
  <si>
    <t>Chave de grifo nº 14</t>
  </si>
  <si>
    <t xml:space="preserve">Chave de grifo nº 18 </t>
  </si>
  <si>
    <t>Chave de grifo nº 24</t>
  </si>
  <si>
    <t>Chave de grifo nº 36</t>
  </si>
  <si>
    <t>Decibelímetro digital</t>
  </si>
  <si>
    <t xml:space="preserve">Desempenadeira de aço lisa </t>
  </si>
  <si>
    <t>Enxada média com cabo</t>
  </si>
  <si>
    <t>Esmeril médio de bancada 300 W 220 V</t>
  </si>
  <si>
    <t>Esquadro metálico de pedreiro</t>
  </si>
  <si>
    <t>Ferro de solda elétrico</t>
  </si>
  <si>
    <t>Formão com cabo 1.1/2 polegada</t>
  </si>
  <si>
    <t>Furadeira convencional – 400 w</t>
  </si>
  <si>
    <t>Grosa para madeira – 30 cm</t>
  </si>
  <si>
    <t>Jogo de brocas para madeira ou metal, diâmetros diversos</t>
  </si>
  <si>
    <t>Jogo de brocas para alvenaria/concreto (vídia) – diâmetros diversos</t>
  </si>
  <si>
    <t xml:space="preserve">Jogo de chaves Allen </t>
  </si>
  <si>
    <t>Lima chata bastarda 30 cm</t>
  </si>
  <si>
    <t>Lixadeira elétrica manual ½" 800 W</t>
  </si>
  <si>
    <t>Luva de látex, tamanho G, M e P</t>
  </si>
  <si>
    <t>Par</t>
  </si>
  <si>
    <t xml:space="preserve">Luva de PVC forrada cano longo e palma áspera, 70cm </t>
  </si>
  <si>
    <t>Luva de raspa de couro de cano curto</t>
  </si>
  <si>
    <t>Luva de raspa de couro de cano longo</t>
  </si>
  <si>
    <t xml:space="preserve">Luva isolante de borracha para eletricidade Classe 0 - 5kV </t>
  </si>
  <si>
    <t>Luva de pano (tecido)</t>
  </si>
  <si>
    <t>Luxímetro digital</t>
  </si>
  <si>
    <t>Máscara anti pó descartável – pacote 100 unidades</t>
  </si>
  <si>
    <t>Pct</t>
  </si>
  <si>
    <t>Marreta de ferro de 1000g</t>
  </si>
  <si>
    <t>Marreta de ferro 500g</t>
  </si>
  <si>
    <t>Martelo de ferro cabo de madeira</t>
  </si>
  <si>
    <t>Multímetro digital</t>
  </si>
  <si>
    <t>Nivel de aluminio – 30 cm</t>
  </si>
  <si>
    <t xml:space="preserve">Óculo de segurança </t>
  </si>
  <si>
    <t>Pá com cabo de madeira</t>
  </si>
  <si>
    <t xml:space="preserve">Parafusadeira c/bateria de 12 volts de 3/8” </t>
  </si>
  <si>
    <t>Picareta com cabo de madeira</t>
  </si>
  <si>
    <t>Pistola elétrica, 220 V, para aplicação de cola quente</t>
  </si>
  <si>
    <t>Plaina elétrica 750 W</t>
  </si>
  <si>
    <t>Ponteiro de aço, 250x18 mm</t>
  </si>
  <si>
    <t>Relógio de ponto biométrico</t>
  </si>
  <si>
    <t>Saca polia de 120 mm, 3 garras.</t>
  </si>
  <si>
    <t>Serra circular para cerâmica (makita) 1200 W</t>
  </si>
  <si>
    <t>Serra circular para madeira portátil 7¼” – 1200 W</t>
  </si>
  <si>
    <t>Serrote de costa para madeira 12 polegadas</t>
  </si>
  <si>
    <t>Talhadeira de aço, 10 polegadas</t>
  </si>
  <si>
    <t>Tesoura tipo funileiro, 10 polegadas</t>
  </si>
  <si>
    <t>Teste de tensão, de néon</t>
  </si>
  <si>
    <t>Maçarico para GLP, com registro, 1,0 metro de mangueira, para aplicação de manta asfáltica</t>
  </si>
  <si>
    <t>Preço</t>
  </si>
  <si>
    <t xml:space="preserve">PLANILHA DE FERRAMENTAS E EQUIPAMENTOS ANUAL - PRESTAÇÃO DE SERVIÇOS TÉCNICOS DE MANUTENÇÃO PREDIAL </t>
  </si>
  <si>
    <t>Protetor auditivo tipo concha com abafador de ruídos</t>
  </si>
  <si>
    <t>Alicate prensa terminal p/ 6, 10, 35 mm</t>
  </si>
  <si>
    <t>Tambor de ferro/plástico de 200 litros</t>
  </si>
  <si>
    <t>Serrote para madeira tamanho médio, 20 polegadas.</t>
  </si>
  <si>
    <t>Régua de alumínio de 5cm x 2cm x 2m</t>
  </si>
  <si>
    <t>Medidor eletrônico de temperatura infravermelho (termômetro)</t>
  </si>
  <si>
    <t>Furadeira de impacto profissional – 800 W, 220 V</t>
  </si>
  <si>
    <t>Conjunto de Serra Copo com ponta de vídea de ½" a 3"</t>
  </si>
  <si>
    <t>Maquina para desobstrução de rede de esgoto.</t>
  </si>
  <si>
    <t>Bomba manual para óleo diesel</t>
  </si>
  <si>
    <t>Avental de segurança descartável de polietileno 80x 150x0,015 cm</t>
  </si>
  <si>
    <t>Alicate bico curvo com mola</t>
  </si>
  <si>
    <t xml:space="preserve">Adicional  de Insalubridade (40% - grau máximo sobre o salário mínimo) </t>
  </si>
  <si>
    <t>PLANILHA ESTIMATIVA DE PREÇOS DE MATERIAIS E PEÇAS DE REPOSIÇÃO, EVENTUAIS CONSERTO DE MOTORES/BOMBAS E EQUIPAMENTOS ELETRICOS/ELETRODOMESTICOS ANUAL</t>
  </si>
  <si>
    <t>Qtd</t>
  </si>
  <si>
    <t>Abraçadeira Tipo Copo em aço de 1 1/2" para amarração de eletrodutos e parafuso para fixação.</t>
  </si>
  <si>
    <t>und.</t>
  </si>
  <si>
    <t>Abraçadeira em aço para amarração de eletrodutos 3/4" e parafuso para fixação.</t>
  </si>
  <si>
    <t>Aguarras/Solvente, 900 ml</t>
  </si>
  <si>
    <t>Anzol nº 6/0 Aço Carbono</t>
  </si>
  <si>
    <t>Anzol nº 4/0 Aço Carbono</t>
  </si>
  <si>
    <t>Aparelho Sinalizador Luminoso com Led, para saída Garagem, com 2 lentes em policarbonato, Bivolt (inclui suporte e fixação)</t>
  </si>
  <si>
    <t xml:space="preserve">Argamassa colante tipo ACIII </t>
  </si>
  <si>
    <t>Arruelas em alumínio, com  rosca, de 1" para Eletroduto</t>
  </si>
  <si>
    <t>Arruelas em alumínio, com rosca, de 1 1/2" para Eletroduto</t>
  </si>
  <si>
    <t>Arruelas em alumínio, com rosca, de 2" para Eletroduto</t>
  </si>
  <si>
    <t>Arruelas em alumínio, com rosca, de 2 1/2" para Eletroduto</t>
  </si>
  <si>
    <t>Arruela Redonda de latão, diametro externo = 34MM, espessura = 2,5MM diametro do furo = 17MM</t>
  </si>
  <si>
    <t>Barra anti pânico simples, cega lado oposto</t>
  </si>
  <si>
    <t>Automático de boia superior/inferior, *15* A/250V</t>
  </si>
  <si>
    <t>Botoeira de Comando Thevear Acionamento de Fechadura. Ref. THBCN</t>
  </si>
  <si>
    <t>Conector reto de alumínio para eletroduto de 1 1/2",para adaptar entrada de eletroduto metálico flexível em quadros</t>
  </si>
  <si>
    <t>Conector reto de alumínio para eletroduto de 3/4", para adaptar entrada de eletroduto metálico flexível em quadros</t>
  </si>
  <si>
    <t>Broca de aço rápido de 5/32’’ MEDIO</t>
  </si>
  <si>
    <t xml:space="preserve">Broca de aço rápido de 5/32’’ LONGO </t>
  </si>
  <si>
    <t xml:space="preserve">Broca de aço rápido de 5/32’’ CURTO </t>
  </si>
  <si>
    <t>Broca de aço rápido de 9/64’’ MÉDIO</t>
  </si>
  <si>
    <t>Broca de aço rápido de 9/64’’ CURTO</t>
  </si>
  <si>
    <t>Broca de aço rápido de 9/64’’ LONGO</t>
  </si>
  <si>
    <t>Broca Wídia para buchas S/06</t>
  </si>
  <si>
    <t>Cabinho flexivel de 6,0 mm, antichama, isolante até 750 V -AZUL</t>
  </si>
  <si>
    <t>Cabinho flexivel de 6,0 mm, antichama, isolante até 750 V -VERDE</t>
  </si>
  <si>
    <t>Cabinho flexivel de 6,0 mm, antichama, isolante até 750 V - PRETO</t>
  </si>
  <si>
    <t>Cabo PP de 3 x 4,0 mm2, antichama, isolamento até 01 kV - (Condumax / Reiplás) ou Similar.</t>
  </si>
  <si>
    <t>Cabo Megatron Coaxial RGC 06 75 OHM</t>
  </si>
  <si>
    <t>Cadeado 25mm - Vonder ou similar</t>
  </si>
  <si>
    <t>Canaleta/Perfil Duplo 25mm Tipo D com tampa, Barra de 3m - Dutotec ou Similar</t>
  </si>
  <si>
    <t>Cola a base de resina epóxi, secagem 10 minutos/tempo de cura 8 horas - Tipo Araldite, Bisnaga 16g</t>
  </si>
  <si>
    <t>Cola branca base PVA (litro)</t>
  </si>
  <si>
    <t>Cola fórmica (750 g = 0,75 kg)</t>
  </si>
  <si>
    <t>Kg</t>
  </si>
  <si>
    <t>Cola Super Bonder, 3 g (adesivo instantaneo)</t>
  </si>
  <si>
    <t>Conector Emenda Coaxial Tipo Fêmea</t>
  </si>
  <si>
    <t>Condulete de Alumínio Tipo L de 1 1/2" sem rosca com tampa e parafuso.</t>
  </si>
  <si>
    <t>Condulete de alumínio Tipo E de 1 1/2" sem rosca com tampa e parafuso.</t>
  </si>
  <si>
    <t>Condulete de Alumínio Tipo L de 3/4"</t>
  </si>
  <si>
    <t>Condulete de alumínio Tipo E de 3/4"</t>
  </si>
  <si>
    <t>Contator Tripolar, 16A/220v</t>
  </si>
  <si>
    <t>Cooler Roxline 120x120MM 110/220V</t>
  </si>
  <si>
    <t>Detergente amoníaco</t>
  </si>
  <si>
    <t>L</t>
  </si>
  <si>
    <t xml:space="preserve">Disco Diamantado para corte de cerâmica ou madeira, tipo makita </t>
  </si>
  <si>
    <t>Divisor de  Frequência (Antena/Splitter)</t>
  </si>
  <si>
    <t>Dobradiça, material ferro, aplicação porta corta fogo</t>
  </si>
  <si>
    <t>Espelho/Placa Cega 4”x 2",para instalação de tomadas e interruptores</t>
  </si>
  <si>
    <t>Espelho/Placa Cega 4”x 4",para instalação de tomadas e interruptores</t>
  </si>
  <si>
    <t>Eletrodos para solda elétrica Ø 2.5 mm</t>
  </si>
  <si>
    <t>Eletroduto Galvanizado de 1 1/2"</t>
  </si>
  <si>
    <t>Eletroduto galvanizado 3/4"</t>
  </si>
  <si>
    <t>Eletroduto PVC Flexível Corrugado, cor amarela, de 25 mm, 3/4"</t>
  </si>
  <si>
    <t>Fechadura Auxiliar de embutir para porta de armário, cromada</t>
  </si>
  <si>
    <t>Fechadura de sobrepor para Porta Corta Fogo</t>
  </si>
  <si>
    <t>Fio de NYLON 0,70mm c/ 100m</t>
  </si>
  <si>
    <t>Fita adesiva dupla face, 24mm x 1,5m</t>
  </si>
  <si>
    <t>Fita Demarcadora de solo Rolo 50mm, 30m</t>
  </si>
  <si>
    <t>Fita Isolante adesiva anti-chama em rolo de 19 mm x 20 m</t>
  </si>
  <si>
    <t>Fita Zebrada p/isolamento 7 cm</t>
  </si>
  <si>
    <t>metro</t>
  </si>
  <si>
    <t>Interruptor Simples 10a, 250v, conjunto montado para embutir 4" x 2" (placa + suporte + modulo)</t>
  </si>
  <si>
    <t>Interruptor Simples + tomada 2p+t 10a, 250v, conjunto montado para embutir 4" x 2" (placa + suporte + modulos)</t>
  </si>
  <si>
    <t>Interruptores Simples (2 modulos) 10a, 250v, conjunto montado para embutir 4" x 2" (placa + suporte + modulos)</t>
  </si>
  <si>
    <t>Interruptores Simples (3 módulos) 10a, 250v, conjunto montado para embutir 4" x 2" (placa + suporte + módulos)</t>
  </si>
  <si>
    <t>Lâmpada Fluorescente T5 16 W – Osram / Phillips ou Similar.</t>
  </si>
  <si>
    <t>Lâmpada Fluorescente T5 20 W – Osram / Phillips ou Similar.</t>
  </si>
  <si>
    <t>Lâmpada Fluorescente Osram 3U 23W Branca.</t>
  </si>
  <si>
    <t>Lâmpada Eletrônica Fluorescente Espiral Mini 14w 127v Branca </t>
  </si>
  <si>
    <t>Lâmpada PL 26W T4 4 Pinos + Soquete</t>
  </si>
  <si>
    <t>Lâmpada LED 6 w bivolt branca, formato tradicional (base e27)</t>
  </si>
  <si>
    <t>Luminária de emergência 30 LEDS, potência 2w, bateria de Litio, Autonomia de 6 horas</t>
  </si>
  <si>
    <t>Massa para calafetação, 350 g</t>
  </si>
  <si>
    <t>Óculos de Proteção</t>
  </si>
  <si>
    <t>Pasta Limpeza Tipo Cristal/Jóia, 500 gr</t>
  </si>
  <si>
    <t>Pedaços de espuma (23 x 13x 8 cm) - blocos</t>
  </si>
  <si>
    <t>Pilha Palito Tipo AAA (Embalagem 4 unidades) Duracell ou similar</t>
  </si>
  <si>
    <t>Pilha Palito Tipo AA (Embalagem 2 unidades) Duracell ou similar</t>
  </si>
  <si>
    <t>Pilha Tipo A23 Alcalina Elgin ou Similar</t>
  </si>
  <si>
    <t>Plug Fêmea sistema padrão linear 10 A Monofásico  (Pial / Fame) ou Similar.</t>
  </si>
  <si>
    <t>Plug Macho sistema padrão linear 10 A Monofásico  (Pial / Fame) ou Similar.</t>
  </si>
  <si>
    <t>Plug Macho 2 pinos + Terra 20A</t>
  </si>
  <si>
    <t>Porta Corta-Fogo para saída de emergencia, com fechadura, vão luz 90x210 cm, classe P-90 (NBR 11742)</t>
  </si>
  <si>
    <t xml:space="preserve">Prendedor/Trava de porta, montagem piso/porta Cromado </t>
  </si>
  <si>
    <t>Reator e acessórios p/ fixação (completa) 2x14 W</t>
  </si>
  <si>
    <t>Reator e acessórios p/ fixação (completa) 2x18/20 W</t>
  </si>
  <si>
    <t>Reator e acessórios p/ fixação (completa) 2x36/40W</t>
  </si>
  <si>
    <t>Rebite  POP (bitolas variadas) Caixa 1000und</t>
  </si>
  <si>
    <t>cx</t>
  </si>
  <si>
    <t>Rele fotoelétrico p/ comando de Iluminação externa bivolt/1000w</t>
  </si>
  <si>
    <t>Saída horizontal para eletrocalha para Eletroduto de 1 1/2".</t>
  </si>
  <si>
    <t>Sensor de presença bivolt com fotocélula para qualquer tipo de lâmpada</t>
  </si>
  <si>
    <t>Tomada 2p+t 10a, 250v, conjunto montado para sobrepor 4"x 2" (caixa + modulo)</t>
  </si>
  <si>
    <t>Tomada 2p+t 20a, 250v, conjunto montado para sobrepor 4"x 2" (caixa + modulo)</t>
  </si>
  <si>
    <t>WD para lubrificação e ferrugem (300 ml)</t>
  </si>
  <si>
    <t>Termografia/Inspeção - Manutenção preditiva com equipamentos de infravermelho - preço por quadro/motor</t>
  </si>
  <si>
    <t>MATERIAL ELÉTRICO - ILUMINAÇÃO DIMERIZADA</t>
  </si>
  <si>
    <t>Amplificador de potência para uma seção de luz (cargas incandescentes, de baixa tensão com transformadores ferro-magnético, neon/catoda fria), 10A/220V ou similar.</t>
  </si>
  <si>
    <t>Controle remoto sem fio, acabamento branco, capaz de acionar 4 cenas de iluminação e a cena "off" (delisgamento da luz do ambiente), aumentar e diminuir a intensidade da última cena selecionada. Dimensões: 145mm X 38mm X 22mm, ou controle remoto por radiofrequência, com controle de dimerização ou similar.</t>
  </si>
  <si>
    <t>Módulo de controle ESN - Energi Savr Node, bi-volt (127V-220V), formato americano (quadro de soprepor ou de embutir), para dispositivos que se comunicam com protocolo Eco System. Possui dois links de controle EcoSystem com até 64 dispositivos EcoSystem por link (128 dispositivos no total). Possui também link de comunicação QS (Quantum System) e 4 grupos de entradas cabeados: sensor de presença, sensor de luz natural, sensor de controle por infra-vermelho e controle de parede. Dimensões: 235mm X 337mm X 81mm de profundidade.</t>
  </si>
  <si>
    <t>Grafik eye QS-controle de iluminação Eco System 6 fases de zoom</t>
  </si>
  <si>
    <t>Luminária lâmpada pl(4 pinos) 2 x t4/26 W</t>
  </si>
  <si>
    <t>Luminária para lâmpada 2 xT5/28W</t>
  </si>
  <si>
    <t>Luminária para lâmpada 2 xT5/14W</t>
  </si>
  <si>
    <t>Módulo antena de comunicação por radiofrequência 434 MHz, para criação de rede de comunicação de sensores sem fio. Acabamento branco, módulo com 4 contatos secos de entrada ou similar.</t>
  </si>
  <si>
    <t>Módulo Energi Savr Node QS com 4 zonas (canais) reguláveis (dimerizáveis), em formato DIM, ou similar</t>
  </si>
  <si>
    <t>Reator para uma ou duas luminárias de luminárias do tamanho 2x T5 de 28 W, ou 2x T5 de 14W,reator para lampada compacta ou T5 28W com tensão universal 120-277V. Aceita controle de sensores de luminosidade, sensores de ocupação ou presença, controle de programação por computador portátil, controle remoto radiofrequência ou infravermelho, com  todos os materiais necessários ou similar.</t>
  </si>
  <si>
    <t>Sensor de luz natural sem fio da linha "Radio Power Save" ou similar, frequência 434 Mhz. Acabamento branco, montagem no teto, alimentado por pilha, 41mm de diâmetro ou similar.</t>
  </si>
  <si>
    <t>Sensor de ocupação/presença sem fio da linha "Radio pow Savr" ou similar, frequência 434 MHz, acabamento branco, montagem no teto, alimentado por bateria, alcance de 10m e cobertura de 360º ou similar.</t>
  </si>
  <si>
    <t>Teclado de 5 ou 7 botões, de parede, com duas entradas de contato através de um conector na parte de trás do teclado para parede nas dimensões: 116 mm x 70 mm x 76 mm, acabamento branco ou preto ou similar</t>
  </si>
  <si>
    <t>Cabo de comunicação de dados de 4 vias - 2x18AWG+2x22AWG - cabo automação</t>
  </si>
  <si>
    <t>Cabo de comunicação de dados, com 3 vias de 1,5mm, com blindagem - cabo automação</t>
  </si>
  <si>
    <t>Adaptador PVC soldável curto com bolsa e rosca, 32 mm x 1", para agua fria</t>
  </si>
  <si>
    <t>Adaptador PVC soldável curto com bolsa e rosca, 60 mm x 2", para agua fria</t>
  </si>
  <si>
    <t>Adaptador para purificadores de água</t>
  </si>
  <si>
    <t>Assento Sanitário de Plástico, tipo convencional</t>
  </si>
  <si>
    <t>Pedra Britada nº 1</t>
  </si>
  <si>
    <t>Canopla para Sprinkler (cromado para instalação de sprinkler sob forro</t>
  </si>
  <si>
    <t>Carrapeta/Vedante de ½"</t>
  </si>
  <si>
    <t>Carrapeta/Vedante de ¾"</t>
  </si>
  <si>
    <t>Cesta para válvula americana 3.1/2"- ref.: Vcl346cwg, Esteves ou similar</t>
  </si>
  <si>
    <t>Cesta para válvula americana 4.1/2” - ref.: Vcl348cwg , Esteves ou similar</t>
  </si>
  <si>
    <t>Cola/Massa Plástica Tipo Iberê</t>
  </si>
  <si>
    <t>Chuveiro Comum em Plastico Branco, com cano, 3 temperaturas, 5500W (110/220v)</t>
  </si>
  <si>
    <t>Ducha higiênica plástica com registro metálico 1/2 "</t>
  </si>
  <si>
    <t>Joelho 90° Soldável  p/água fria predial D=85 mm</t>
  </si>
  <si>
    <t>Joelho PVC, soldável com rosca, 90 graus, 25 mm x 1/2", para agua fria predial</t>
  </si>
  <si>
    <t>Lavatório de sobrepor retangular louca branca com ladrao "52X45'' cm</t>
  </si>
  <si>
    <t>Luva PVC soldável, 20 mm, para agua fria predial</t>
  </si>
  <si>
    <t>Luva PVC soldável, 60 mm, para agua fria predial</t>
  </si>
  <si>
    <t>NIPLE PVC, Roscavel 25 mm (1/2)</t>
  </si>
  <si>
    <t>NIPLE PVC, Roscavel 20 mm (3/4)</t>
  </si>
  <si>
    <t xml:space="preserve">NIPLE de Ferro Galvanizado, com rosca BSP, de 2 1/2" </t>
  </si>
  <si>
    <t xml:space="preserve">PLUG PVC Roscavel de 1 para água fria </t>
  </si>
  <si>
    <t>Refil para aparelhos purificadores de água Soft by Everest</t>
  </si>
  <si>
    <t>Placa de comando e sensor p/ mictório eletrônico Decalux Ref: 4266073</t>
  </si>
  <si>
    <t>Reparo torneira,  referência 4686001, aplicação Dematic Eco (Deca) 1173C</t>
  </si>
  <si>
    <t>Reparo de torneira  1/4 de volta (vermelho ou azul)</t>
  </si>
  <si>
    <t xml:space="preserve">Reparo para válvula de descarga, Hydra Duo </t>
  </si>
  <si>
    <t>Retentor vedante Ref: HidraMax 4006A</t>
  </si>
  <si>
    <t>Sifão plástico extensível universal, tipo copo</t>
  </si>
  <si>
    <t>Silicone Acetico Uso Geral Incolor 280 g</t>
  </si>
  <si>
    <t>Solução limpadora para PVC, frasco com 200 cm3</t>
  </si>
  <si>
    <t>Espude de PVC, com parafuso para vaso sanitário - DaCunha ou similar</t>
  </si>
  <si>
    <t>Tarjeta tipo Livre/ocupado, cromado, par aporta de banheiro Soprano Cromado Miswri (similar)</t>
  </si>
  <si>
    <t>Tampão/CAP PVC, Roscavel 2", água predial</t>
  </si>
  <si>
    <t>TE de redução, PVC, soldável, 90 graus, 25 mm x 20 mm, para agua fria predial</t>
  </si>
  <si>
    <t>Termostato para Geladeira.</t>
  </si>
  <si>
    <t>Torneira cromada com bico para jardim/tanque 1/2 ou 3/4 ref.: 1153 (Fabrima) ou similar</t>
  </si>
  <si>
    <t xml:space="preserve">Torneira para pia de 1/2” com arejador  - ref. 1157 </t>
  </si>
  <si>
    <t>Torneira Lavatorio Mesa Fechamento Automatico Ref. 1173.C</t>
  </si>
  <si>
    <t xml:space="preserve">Tubo PVC Roscável  p/água fria D=1 1/2"  </t>
  </si>
  <si>
    <t xml:space="preserve">Tubo PVC Roscável  p/água fria D=1 1/4"  </t>
  </si>
  <si>
    <t xml:space="preserve">Tubo PVC Roscável  p/água fria D=1"  </t>
  </si>
  <si>
    <t>Tubo PVC Soldável  p/água fria predial D=20 mm</t>
  </si>
  <si>
    <t>Tubo PVC Soldável  p/água fria predial D=25 mm</t>
  </si>
  <si>
    <t>Tubo PVC Soldável  p/água fria predial D=32 mm</t>
  </si>
  <si>
    <t>Tubo PVC Soldável  p/água fria predial D=40 mm</t>
  </si>
  <si>
    <t>Tubo PVC Soldável  p/água fria predial D=50 mm</t>
  </si>
  <si>
    <t>Tubo PVC Soldável  p/água fria predial D=60 mm</t>
  </si>
  <si>
    <t>Tubo PVC Soldável  p/água fria predial D=75 mm</t>
  </si>
  <si>
    <t>Tubo PVC Soldável  p/água fria predial D=85 mm</t>
  </si>
  <si>
    <t>Válvula de Descarga em metal cromado para Mictório comacionamento por pressão e fechamento automatico.</t>
  </si>
  <si>
    <t>Válvula de escoamento para lavatório ref.: 1601</t>
  </si>
  <si>
    <t>Conserto de elevador hidráulico</t>
  </si>
  <si>
    <t xml:space="preserve">Rebobinamento de motor 15 CV, com substituição de rolamentos </t>
  </si>
  <si>
    <t>Retifica de eixo motor 10 CV</t>
  </si>
  <si>
    <t>Retifica de eixo motor 20 CV</t>
  </si>
  <si>
    <t>Retifica de eixo motor 30 CV</t>
  </si>
  <si>
    <t>Álcool Combustível</t>
  </si>
  <si>
    <t>Alternador 65 A Bipolar – Motor -1 1397038</t>
  </si>
  <si>
    <t>Bateria Automotiva de 180 A/H 12v 1 2009295</t>
  </si>
  <si>
    <t>Correia Poli -V/ Para o Motor 18179824</t>
  </si>
  <si>
    <t>Gasolina</t>
  </si>
  <si>
    <t>Glicol Anticongelante/Aditivo Radiador (Litro)</t>
  </si>
  <si>
    <t>Óleo para Motor 20 Litros,Ci-4 - 45 1958768</t>
  </si>
  <si>
    <t>Óleo Combustível</t>
  </si>
  <si>
    <t>Filtro de óleo lubrificante do grupo gerador</t>
  </si>
  <si>
    <t>Carpinteiro</t>
  </si>
  <si>
    <t>Vidraceiro</t>
  </si>
  <si>
    <t xml:space="preserve"> ESTIMATIVA TOTAL MENSAL ADMISSÍVEL - 35%</t>
  </si>
  <si>
    <t>Preços (R$)</t>
  </si>
  <si>
    <t>Unitário</t>
  </si>
  <si>
    <t>Valor global da proposta (valor mensal do serviço X 12 meses do contrato).</t>
  </si>
  <si>
    <t>TOTAL  GERAL MENSAL E ANUAL</t>
  </si>
  <si>
    <t>CCT-2018 - SENGE-DF / SINDUSCON-DF</t>
  </si>
  <si>
    <t>Outros (especificar)</t>
  </si>
  <si>
    <t>CCT-2018 - SINDSERVIÇOS-DF / SEAC-DF</t>
  </si>
  <si>
    <t>CCT-2018 - SINTEC-DF/SEAC-DF</t>
  </si>
  <si>
    <t xml:space="preserve">Outros (especificar)                                                                                              </t>
  </si>
  <si>
    <t xml:space="preserve">Outros (especificar)                                                                                       </t>
  </si>
  <si>
    <t>Salário Normativo da Categoria Profissional/CCT-2018</t>
  </si>
  <si>
    <t xml:space="preserve">Outros (especificar)                                                                                                    </t>
  </si>
  <si>
    <t> Quantidade total a contratar      (em função da unidade de medida)</t>
  </si>
  <si>
    <t>MÓDULO 3 - PROVISÃO PARA RESCISÃO</t>
  </si>
  <si>
    <t>MÓDULO 4 - CUSTO DE REPOSIÇÃO DO PROFISSIONAL AUSENTE</t>
  </si>
  <si>
    <t>QUADRO-RESUMO DO MÓDULO 4 - CUSTO DE REPOSIÇÃO DO PROFISSIONAL AUSENTE</t>
  </si>
  <si>
    <t>MÓDULO 5 - INSUMOS DIVERSOS</t>
  </si>
  <si>
    <t>MÓDULO 6 - CUSTOS INDIRETOS, TRIBUTOS e LUCRO</t>
  </si>
  <si>
    <t xml:space="preserve">QUADRO-RESUMO DO MÓDULO 4 - CUSTO DE REPOSIÇÃO DO PROFISSIONAL AUSENTE </t>
  </si>
  <si>
    <t>MÓDULO 6 - CUSTOS INDIRETOS, TRIBUTOS E LUCRO</t>
  </si>
  <si>
    <t>QUADRO-RESUMO DO MÓDULO 2 - ENCARGOS E BENEFÍCIOS ANUAIS, MENSAIS E DIÁRIOS</t>
  </si>
  <si>
    <t xml:space="preserve">QUADRO-RESUMO DO SUBMÓDULO 2 - ENCARGOS E BENEFÍCIOS ANUAIS, MENSAIS E DIÁRIOS </t>
  </si>
  <si>
    <t>QUADRO-RESUMO DO MÓDULO  4 - CUSTO DE REPOSIÇÃO DO PROFISSIONAL AUSENTE</t>
  </si>
  <si>
    <t>QUADRO-RESUMO DO MÓDULO 2 -ENCARGOS E BENEFÍCIOS ANUAIS, MENSAIS E DIÁRIOS</t>
  </si>
  <si>
    <t>MÓDULO 5 -INSUMOS DIVERSOS</t>
  </si>
  <si>
    <t>MÓDULO 4 - CUSTO DE REPOSICÃO DO PROFISSIONAL AUSENTE</t>
  </si>
  <si>
    <t> Quantidade total a contratar                                        (em função da unidade de medida)</t>
  </si>
  <si>
    <t> Quantidade total a contratar          (em função da unidade de medida)</t>
  </si>
  <si>
    <t> Quantidade total a contratar              (em função da unidade de medida)</t>
  </si>
  <si>
    <t>1. MÓDULOS</t>
  </si>
  <si>
    <t xml:space="preserve">Submódulo 4.1 - Substituto nas Ausências Legais </t>
  </si>
  <si>
    <t xml:space="preserve"> Substituto nas Ausências Legais </t>
  </si>
  <si>
    <t>Substituto na cobertura de Férias</t>
  </si>
  <si>
    <t>Submódulo 4.1 - Substituto nas Ausências Legais</t>
  </si>
  <si>
    <t>Substituto nas Ausências Legais</t>
  </si>
  <si>
    <t>Substituto na cobertura de Outras ausências (especificar)</t>
  </si>
  <si>
    <t xml:space="preserve">Substituto nas Ausências Legais </t>
  </si>
  <si>
    <t>Assistência Médica e Familiar</t>
  </si>
  <si>
    <t>Assistência Odontológica</t>
  </si>
  <si>
    <t xml:space="preserve">Submódulo 4.2 - Substituto na Intrajornada </t>
  </si>
  <si>
    <t xml:space="preserve">Substituto na Intrajornada </t>
  </si>
  <si>
    <t>Substituto na cobertura de Intervalo para repouso ou alimentação</t>
  </si>
  <si>
    <t>Substituto na cobertura de Férias = 1/12*(Férias + Adicional de Férias)/12</t>
  </si>
  <si>
    <t xml:space="preserve"> Encarregado(a) Geral de Manutenção </t>
  </si>
  <si>
    <t>Engenheiro(a) Eletricista de Manutenção</t>
  </si>
  <si>
    <t xml:space="preserve">Artífice/Marceneiro de Manutenção </t>
  </si>
  <si>
    <t xml:space="preserve"> Bombeiro Hidráulico de Manutenção </t>
  </si>
  <si>
    <t xml:space="preserve"> Eletricista de Manutenção Predial</t>
  </si>
  <si>
    <t>Eletricista Plantonista Noturno</t>
  </si>
  <si>
    <t xml:space="preserve"> Técnico(a) Administrativo</t>
  </si>
  <si>
    <t xml:space="preserve"> Ajudante de Manutenção</t>
  </si>
  <si>
    <t xml:space="preserve">Eletricista Plantonista Diurno </t>
  </si>
  <si>
    <t>PLANILHA DE ESTIMATIVA DE CUSTOS ANUAL PARA UNIFORMES - PRESTAÇÃO DE SERVIÇOS TÉCNICOS DE MANUTENÇÃO PREDIAL 2018 - AJUSTADA CLC</t>
  </si>
  <si>
    <t xml:space="preserve">Total Anual
R$ </t>
  </si>
  <si>
    <t>Qdade Anual
(Por posto)</t>
  </si>
  <si>
    <t xml:space="preserve">PLANILHA DE CUSTO E FORMAÇÃO DE PREÇOS                                                                                                                                                                  </t>
  </si>
  <si>
    <t>ANEXO VII-D - Instrução Normativa nº 5/2017-SEGES/MPDG -  INSTRUÇÃO NORMATIVA Nº 7, DE 20 DE SETEMBRO DE 2018</t>
  </si>
  <si>
    <t xml:space="preserve"> (Lucro Real  Portaria Nº 7 de 9 de MARÇO DE 2011/SLTI/MOPG)</t>
  </si>
  <si>
    <t xml:space="preserve">Assistência Odontológica </t>
  </si>
  <si>
    <t>Assistência Funeral</t>
  </si>
  <si>
    <t>Seguro de Vida</t>
  </si>
  <si>
    <t xml:space="preserve">Auxílio Creche </t>
  </si>
  <si>
    <t xml:space="preserve">Adicional  de periculosidade                                                                                                               </t>
  </si>
  <si>
    <t>Salário Base para 40 hs/semanais</t>
  </si>
  <si>
    <t>Nota 3: Esses percentuais incidem sobre o Módulo 1, Submódulo 2.1 e no Modulo 4 - Custo de Reposição do Profissional Ausente</t>
  </si>
  <si>
    <t xml:space="preserve">Adicional de Periculosidade                                                                                                             </t>
  </si>
  <si>
    <t xml:space="preserve">Adicional de Periculosidade                                                                                                      </t>
  </si>
  <si>
    <t xml:space="preserve"> Técnico(a) Eletrônico em Geral</t>
  </si>
  <si>
    <t xml:space="preserve">Adicional de Periculosidade                                                                                                                              </t>
  </si>
  <si>
    <t>VALOR MENSAL DOS SERVIÇOS (I + II +...+ XIII)</t>
  </si>
  <si>
    <t>Anual (R$)</t>
  </si>
  <si>
    <t>BDI Diferenciado de Material - 14%  (Acordão 2369/2011-TCU)</t>
  </si>
  <si>
    <t>ADM</t>
  </si>
  <si>
    <t>LUCRO</t>
  </si>
  <si>
    <r>
      <t>N</t>
    </r>
    <r>
      <rPr>
        <strike/>
        <sz val="10"/>
        <color theme="1"/>
        <rFont val="Calibri Light"/>
        <family val="2"/>
      </rPr>
      <t>º</t>
    </r>
    <r>
      <rPr>
        <sz val="10"/>
        <color theme="1"/>
        <rFont val="Calibri Light"/>
        <family val="2"/>
      </rPr>
      <t xml:space="preserve"> de meses de execução contratual</t>
    </r>
  </si>
  <si>
    <r>
      <rPr>
        <b/>
        <sz val="10"/>
        <color theme="1"/>
        <rFont val="Calibri Light"/>
        <family val="2"/>
      </rPr>
      <t xml:space="preserve">Módulo 1 </t>
    </r>
    <r>
      <rPr>
        <sz val="10"/>
        <color theme="1"/>
        <rFont val="Calibri Light"/>
        <family val="2"/>
      </rPr>
      <t>– Composição da Remuneração</t>
    </r>
  </si>
  <si>
    <r>
      <rPr>
        <b/>
        <sz val="10"/>
        <color theme="1"/>
        <rFont val="Calibri Light"/>
        <family val="2"/>
      </rPr>
      <t xml:space="preserve">Módulo 2 </t>
    </r>
    <r>
      <rPr>
        <sz val="10"/>
        <color theme="1"/>
        <rFont val="Calibri Light"/>
        <family val="2"/>
      </rPr>
      <t>– Encargos e Benefícios Anuais, Mensais e Diários</t>
    </r>
  </si>
  <si>
    <r>
      <rPr>
        <b/>
        <sz val="10"/>
        <color theme="1"/>
        <rFont val="Calibri Light"/>
        <family val="2"/>
      </rPr>
      <t>Módulo 3</t>
    </r>
    <r>
      <rPr>
        <sz val="10"/>
        <color theme="1"/>
        <rFont val="Calibri Light"/>
        <family val="2"/>
      </rPr>
      <t xml:space="preserve"> – Provisão para Rescisão</t>
    </r>
  </si>
  <si>
    <r>
      <rPr>
        <b/>
        <sz val="10"/>
        <color theme="1"/>
        <rFont val="Calibri Light"/>
        <family val="2"/>
      </rPr>
      <t>Módulo 4</t>
    </r>
    <r>
      <rPr>
        <sz val="10"/>
        <color theme="1"/>
        <rFont val="Calibri Light"/>
        <family val="2"/>
      </rPr>
      <t xml:space="preserve"> – Custo de Reposição do Profissional Ausente</t>
    </r>
  </si>
  <si>
    <r>
      <rPr>
        <b/>
        <sz val="10"/>
        <color theme="1"/>
        <rFont val="Calibri Light"/>
        <family val="2"/>
      </rPr>
      <t>Módulo 5</t>
    </r>
    <r>
      <rPr>
        <sz val="10"/>
        <color theme="1"/>
        <rFont val="Calibri Light"/>
        <family val="2"/>
      </rPr>
      <t xml:space="preserve"> - Insumos Diversos</t>
    </r>
  </si>
  <si>
    <r>
      <rPr>
        <b/>
        <sz val="10"/>
        <color theme="1"/>
        <rFont val="Calibri Light"/>
        <family val="2"/>
      </rPr>
      <t>Módulo 6</t>
    </r>
    <r>
      <rPr>
        <sz val="10"/>
        <color theme="1"/>
        <rFont val="Calibri Light"/>
        <family val="2"/>
      </rPr>
      <t xml:space="preserve"> – Custos Indiretos, Tributos e Lucro</t>
    </r>
  </si>
  <si>
    <r>
      <t xml:space="preserve">Camisa social de manga  curta, cor azul claro, com a logomarca da contratada, inscrição </t>
    </r>
    <r>
      <rPr>
        <b/>
        <sz val="9"/>
        <color rgb="FF000000"/>
        <rFont val="Calibri Light"/>
        <family val="2"/>
      </rPr>
      <t>"Encarregado"</t>
    </r>
    <r>
      <rPr>
        <sz val="9"/>
        <color rgb="FF000000"/>
        <rFont val="Calibri Light"/>
        <family val="2"/>
      </rPr>
      <t xml:space="preserve"> , 100 % algodão</t>
    </r>
  </si>
  <si>
    <t>Bomba submersa 1¹/² " HP</t>
  </si>
  <si>
    <r>
      <t>Cabinho flexível de 2,5 mm</t>
    </r>
    <r>
      <rPr>
        <vertAlign val="superscript"/>
        <sz val="10"/>
        <color rgb="FF000000"/>
        <rFont val="Calibri Light"/>
        <family val="2"/>
      </rPr>
      <t>2</t>
    </r>
    <r>
      <rPr>
        <sz val="10"/>
        <color rgb="FF000000"/>
        <rFont val="Calibri Light"/>
        <family val="2"/>
      </rPr>
      <t>, antichama, isolamento até 750 V – AMARELO - Pirelli ou Similar.</t>
    </r>
  </si>
  <si>
    <r>
      <t>Cabinho flexível de 2,5 mm</t>
    </r>
    <r>
      <rPr>
        <vertAlign val="superscript"/>
        <sz val="10"/>
        <color rgb="FF000000"/>
        <rFont val="Calibri Light"/>
        <family val="2"/>
      </rPr>
      <t>2</t>
    </r>
    <r>
      <rPr>
        <sz val="10"/>
        <color rgb="FF000000"/>
        <rFont val="Calibri Light"/>
        <family val="2"/>
      </rPr>
      <t>, antichama, isolamento até 750 V – AZUL - Pirelli ou Similar.</t>
    </r>
  </si>
  <si>
    <r>
      <t>Cabinho flexível de 2,5 mm</t>
    </r>
    <r>
      <rPr>
        <vertAlign val="superscript"/>
        <sz val="10"/>
        <color rgb="FF000000"/>
        <rFont val="Calibri Light"/>
        <family val="2"/>
      </rPr>
      <t>2</t>
    </r>
    <r>
      <rPr>
        <sz val="10"/>
        <color rgb="FF000000"/>
        <rFont val="Calibri Light"/>
        <family val="2"/>
      </rPr>
      <t>, antichama, isolamento até 750 V – PRETO - Pirelli ou Similar.</t>
    </r>
  </si>
  <si>
    <r>
      <t>Cabinho flexível de 2,5 mm</t>
    </r>
    <r>
      <rPr>
        <vertAlign val="superscript"/>
        <sz val="10"/>
        <color rgb="FF000000"/>
        <rFont val="Calibri Light"/>
        <family val="2"/>
      </rPr>
      <t>2</t>
    </r>
    <r>
      <rPr>
        <sz val="10"/>
        <color rgb="FF000000"/>
        <rFont val="Calibri Light"/>
        <family val="2"/>
      </rPr>
      <t>, antichama, isolamento até 750 V – VERDE/AMARELO – Pirelli ou Similar.</t>
    </r>
  </si>
  <si>
    <r>
      <t>Cabinho flexível de 4,0 mm</t>
    </r>
    <r>
      <rPr>
        <vertAlign val="superscript"/>
        <sz val="10"/>
        <color rgb="FF000000"/>
        <rFont val="Calibri Light"/>
        <family val="2"/>
      </rPr>
      <t>2</t>
    </r>
    <r>
      <rPr>
        <sz val="10"/>
        <color rgb="FF000000"/>
        <rFont val="Calibri Light"/>
        <family val="2"/>
      </rPr>
      <t>, antichama, isolamento até 750 V – AMARELO – Pirelli ou Similar.</t>
    </r>
  </si>
  <si>
    <r>
      <t>Cabinho flexível de 4,0 mm</t>
    </r>
    <r>
      <rPr>
        <vertAlign val="superscript"/>
        <sz val="10"/>
        <color rgb="FF000000"/>
        <rFont val="Calibri Light"/>
        <family val="2"/>
      </rPr>
      <t>2</t>
    </r>
    <r>
      <rPr>
        <sz val="10"/>
        <color rgb="FF000000"/>
        <rFont val="Calibri Light"/>
        <family val="2"/>
      </rPr>
      <t>, antichama, isolamento até 750 V – AZUL - Pirelli ou Similar.</t>
    </r>
  </si>
  <si>
    <r>
      <t>Cabinho flexível de 4,0 mm</t>
    </r>
    <r>
      <rPr>
        <vertAlign val="superscript"/>
        <sz val="10"/>
        <color rgb="FF000000"/>
        <rFont val="Calibri Light"/>
        <family val="2"/>
      </rPr>
      <t>2</t>
    </r>
    <r>
      <rPr>
        <sz val="10"/>
        <color rgb="FF000000"/>
        <rFont val="Calibri Light"/>
        <family val="2"/>
      </rPr>
      <t>, antichama, isolamento até 750 V – PRETO - Pirelli ou Similar.</t>
    </r>
  </si>
  <si>
    <r>
      <t>Cabinho flexível de 4,0 mm</t>
    </r>
    <r>
      <rPr>
        <vertAlign val="superscript"/>
        <sz val="10"/>
        <color rgb="FF000000"/>
        <rFont val="Calibri Light"/>
        <family val="2"/>
      </rPr>
      <t>2</t>
    </r>
    <r>
      <rPr>
        <sz val="10"/>
        <color rgb="FF000000"/>
        <rFont val="Calibri Light"/>
        <family val="2"/>
      </rPr>
      <t>, antichama, isolamento até 750 V – VERDE/AMARELO – Pirelli ou Similar.</t>
    </r>
  </si>
  <si>
    <r>
      <rPr>
        <b/>
        <sz val="10"/>
        <color theme="1"/>
        <rFont val="Calibri Light"/>
        <family val="2"/>
      </rPr>
      <t xml:space="preserve">Assistência Médica e Familiar </t>
    </r>
    <r>
      <rPr>
        <sz val="10"/>
        <color theme="1"/>
        <rFont val="Times New Roman"/>
        <family val="1"/>
      </rPr>
      <t/>
    </r>
  </si>
  <si>
    <r>
      <rPr>
        <b/>
        <sz val="10"/>
        <color theme="1"/>
        <rFont val="Calibri Light"/>
        <family val="2"/>
      </rPr>
      <t xml:space="preserve">Módulo 4 </t>
    </r>
    <r>
      <rPr>
        <sz val="10"/>
        <color theme="1"/>
        <rFont val="Calibri Light"/>
        <family val="2"/>
      </rPr>
      <t>– Custo de Reposição do Profissional Ausente</t>
    </r>
  </si>
  <si>
    <r>
      <rPr>
        <b/>
        <sz val="10"/>
        <color theme="1"/>
        <rFont val="Calibri Light"/>
        <family val="2"/>
      </rPr>
      <t xml:space="preserve">Módulo 6 </t>
    </r>
    <r>
      <rPr>
        <sz val="10"/>
        <color theme="1"/>
        <rFont val="Calibri Light"/>
        <family val="2"/>
      </rPr>
      <t>– Custos Indiretos, Tributos e Lucro</t>
    </r>
  </si>
  <si>
    <r>
      <rPr>
        <b/>
        <sz val="10"/>
        <color theme="1"/>
        <rFont val="Calibri Light"/>
        <family val="2"/>
      </rPr>
      <t xml:space="preserve">Incidência do FGTS sobre o Aviso Prévio Indenizado </t>
    </r>
    <r>
      <rPr>
        <sz val="10"/>
        <color theme="1"/>
        <rFont val="Calibri Light"/>
        <family val="2"/>
      </rPr>
      <t>(8% x 0,417%)</t>
    </r>
  </si>
  <si>
    <r>
      <rPr>
        <b/>
        <sz val="10"/>
        <color theme="1"/>
        <rFont val="Calibri Light"/>
        <family val="2"/>
      </rPr>
      <t>Módulo 1</t>
    </r>
    <r>
      <rPr>
        <sz val="10"/>
        <color theme="1"/>
        <rFont val="Calibri Light"/>
        <family val="2"/>
      </rPr>
      <t xml:space="preserve"> – Composição da Remuneração</t>
    </r>
  </si>
  <si>
    <r>
      <rPr>
        <b/>
        <sz val="10"/>
        <color theme="1"/>
        <rFont val="Calibri Light"/>
        <family val="2"/>
      </rPr>
      <t>Módulo 2</t>
    </r>
    <r>
      <rPr>
        <sz val="10"/>
        <color theme="1"/>
        <rFont val="Calibri Light"/>
        <family val="2"/>
      </rPr>
      <t xml:space="preserve"> – Encargos e Benefícios Anuais, Mensais e Diários</t>
    </r>
  </si>
  <si>
    <r>
      <rPr>
        <b/>
        <sz val="10"/>
        <color theme="1"/>
        <rFont val="Calibri Light"/>
        <family val="2"/>
      </rPr>
      <t xml:space="preserve">Módulo 5 </t>
    </r>
    <r>
      <rPr>
        <sz val="10"/>
        <color theme="1"/>
        <rFont val="Calibri Light"/>
        <family val="2"/>
      </rPr>
      <t>- Insumos Diversos</t>
    </r>
  </si>
  <si>
    <r>
      <rPr>
        <b/>
        <sz val="10"/>
        <color theme="1"/>
        <rFont val="Calibri Light"/>
        <family val="2"/>
      </rPr>
      <t xml:space="preserve">Módulo 3 </t>
    </r>
    <r>
      <rPr>
        <sz val="10"/>
        <color theme="1"/>
        <rFont val="Calibri Light"/>
        <family val="2"/>
      </rPr>
      <t>– Provisão para Rescisão</t>
    </r>
  </si>
  <si>
    <r>
      <rPr>
        <b/>
        <sz val="10"/>
        <color theme="1"/>
        <rFont val="Calibri Light"/>
        <family val="2"/>
      </rPr>
      <t>C.1.</t>
    </r>
    <r>
      <rPr>
        <sz val="10"/>
        <color theme="1"/>
        <rFont val="Calibri Light"/>
        <family val="2"/>
      </rPr>
      <t xml:space="preserve"> Tributos Federais - PIS (0,65% ) + COFINS (3,00%) + CPRB (4,50%)</t>
    </r>
  </si>
  <si>
    <r>
      <rPr>
        <b/>
        <sz val="10"/>
        <color theme="1"/>
        <rFont val="Calibri Light"/>
        <family val="2"/>
      </rPr>
      <t>C.2.</t>
    </r>
    <r>
      <rPr>
        <sz val="10"/>
        <color theme="1"/>
        <rFont val="Calibri Light"/>
        <family val="2"/>
      </rPr>
      <t xml:space="preserve"> Tributos Estaduais  - ISS (2%) </t>
    </r>
  </si>
  <si>
    <r>
      <t> </t>
    </r>
    <r>
      <rPr>
        <b/>
        <sz val="10"/>
        <color theme="1"/>
        <rFont val="Calibri Light"/>
        <family val="2"/>
      </rPr>
      <t>MÓDULO 1 :   COMPOSIÇÃO DA REMUNERAÇÃO</t>
    </r>
  </si>
  <si>
    <t xml:space="preserve">Adicional de Periculosidade                                                                                                                                  </t>
  </si>
  <si>
    <r>
      <rPr>
        <b/>
        <sz val="10"/>
        <color theme="1"/>
        <rFont val="Calibri Light"/>
        <family val="2"/>
      </rPr>
      <t>Nota 1:</t>
    </r>
    <r>
      <rPr>
        <sz val="10"/>
        <color theme="1"/>
        <rFont val="Calibri Light"/>
        <family val="2"/>
      </rPr>
      <t xml:space="preserve"> O </t>
    </r>
    <r>
      <rPr>
        <b/>
        <sz val="10"/>
        <color theme="1"/>
        <rFont val="Calibri Light"/>
        <family val="2"/>
      </rPr>
      <t>Módulo 1</t>
    </r>
    <r>
      <rPr>
        <sz val="10"/>
        <color theme="1"/>
        <rFont val="Calibri Light"/>
        <family val="2"/>
      </rPr>
      <t xml:space="preserve"> refere-se ao valor mensal devido ao empregado pela prestação do serviço no período de 12 meses. </t>
    </r>
  </si>
  <si>
    <r>
      <rPr>
        <b/>
        <sz val="10"/>
        <color theme="1"/>
        <rFont val="Calibri Light"/>
        <family val="2"/>
      </rPr>
      <t>Incidência do FGTS sobre o Aviso Prévio Indenizado</t>
    </r>
    <r>
      <rPr>
        <sz val="10"/>
        <color theme="1"/>
        <rFont val="Calibri Light"/>
        <family val="2"/>
      </rPr>
      <t xml:space="preserve"> (8% x 0,417%)</t>
    </r>
  </si>
  <si>
    <r>
      <rPr>
        <b/>
        <sz val="10"/>
        <color theme="1"/>
        <rFont val="Calibri Light"/>
        <family val="2"/>
      </rPr>
      <t xml:space="preserve">Multa do FGTS e Contribuição Social sobre o Aviso Prévio Indenizado </t>
    </r>
    <r>
      <rPr>
        <sz val="10"/>
        <color theme="1"/>
        <rFont val="Calibri Light"/>
        <family val="2"/>
      </rPr>
      <t xml:space="preserve">                                                 (multa de 40% sobre FGTS + 10% Contribuição Social) x Aviso Prévio Indenizado (0,417%) =  (0,417%)*0,50  =  0,209%  (Art. 18, § 1º da Lei nº 8.036/90,Art. 1º da Lei Complementar nº 110/2001)</t>
    </r>
  </si>
  <si>
    <r>
      <rPr>
        <b/>
        <sz val="10"/>
        <color theme="1"/>
        <rFont val="Calibri Light"/>
        <family val="2"/>
      </rPr>
      <t xml:space="preserve">Incidência dos encargos do Submódulo 2.2 </t>
    </r>
    <r>
      <rPr>
        <sz val="10"/>
        <color theme="1"/>
        <rFont val="Calibri Light"/>
        <family val="2"/>
      </rPr>
      <t>sobre o Aviso Prévio Trabalhado (36,8% x 1,94%)</t>
    </r>
  </si>
  <si>
    <r>
      <rPr>
        <b/>
        <sz val="10"/>
        <color theme="1"/>
        <rFont val="Calibri Light"/>
        <family val="2"/>
      </rPr>
      <t>Multa do FGTS e Contribuição Social sobre o Aviso Prévio Trabalhado</t>
    </r>
    <r>
      <rPr>
        <sz val="10"/>
        <color theme="1"/>
        <rFont val="Calibri Light"/>
        <family val="2"/>
      </rPr>
      <t xml:space="preserve"> (50% x 1,944%)</t>
    </r>
  </si>
  <si>
    <t>Substituto na cobertura de Ausências Legais (estatística - uma/ano) = (1/12)/30</t>
  </si>
  <si>
    <t>Substituto na cobertura de Licença-Paternidade (Estatística 1,5 % trabalhadores/ano)</t>
  </si>
  <si>
    <t>Substituto na cobertura de Ausência por Acidente de Trabalho                                                                                                      (estatística IBGE - 8% por ano - 15 dias pagos pela empresa) = [(8%)/12]/2</t>
  </si>
  <si>
    <t>Substituto na cobertura de Afastamento Maternidade (Estatística 1,5 % trabalhadoras/ano) = (1,5%)/12</t>
  </si>
  <si>
    <t xml:space="preserve">Adicional de Periculosidade                                                                                                                                 </t>
  </si>
  <si>
    <r>
      <rPr>
        <b/>
        <sz val="10"/>
        <color theme="1"/>
        <rFont val="Calibri Light"/>
        <family val="2"/>
      </rPr>
      <t xml:space="preserve">Aviso Prévio Indenizado                                                                                                                             </t>
    </r>
    <r>
      <rPr>
        <sz val="10"/>
        <color theme="1"/>
        <rFont val="Calibri Light"/>
        <family val="2"/>
      </rPr>
      <t xml:space="preserve"> (Estimativa: 5% dos empregados serão substituídos durante um ano)  - [(5%)/12] = 0,417%   art. 487 CLT - Sumula 305/TST, Ac.2.271/2010-TCU,  Lei nº 12506/2011.</t>
    </r>
  </si>
  <si>
    <t>Substituto na cobertura de Ausência por Acidente de Trabalho (estatística IBGE - 8% por ano - 15 dias pagos pela empresa) = [(8%)/12]/2</t>
  </si>
  <si>
    <r>
      <rPr>
        <b/>
        <sz val="10"/>
        <color theme="1"/>
        <rFont val="Calibri Light"/>
        <family val="2"/>
      </rPr>
      <t>Aviso Prévio Indenizado</t>
    </r>
    <r>
      <rPr>
        <sz val="10"/>
        <color theme="1"/>
        <rFont val="Calibri Light"/>
        <family val="2"/>
      </rPr>
      <t xml:space="preserve">                                                                                                                       (Estimativa: 5% dos empregados serão substituídos durante um ano)  - [(5%)/12] = 0,417%   art. 487 CLT - Sumula 305/TST, Ac.2.271/2010-TCU,  Lei nº 12506/2011.</t>
    </r>
  </si>
  <si>
    <r>
      <rPr>
        <b/>
        <sz val="10"/>
        <color theme="1"/>
        <rFont val="Calibri Light"/>
        <family val="2"/>
      </rPr>
      <t>Incidência dos encargos do Submódulo 2.2</t>
    </r>
    <r>
      <rPr>
        <sz val="10"/>
        <color theme="1"/>
        <rFont val="Calibri Light"/>
        <family val="2"/>
      </rPr>
      <t xml:space="preserve"> sobre o Aviso Prévio Trabalhado (36,8% x 1,94%)</t>
    </r>
  </si>
  <si>
    <r>
      <rPr>
        <b/>
        <sz val="10"/>
        <color theme="1"/>
        <rFont val="Calibri Light"/>
        <family val="2"/>
      </rPr>
      <t>Aviso Prévio Indenizado</t>
    </r>
    <r>
      <rPr>
        <sz val="10"/>
        <color theme="1"/>
        <rFont val="Calibri Light"/>
        <family val="2"/>
      </rPr>
      <t xml:space="preserve">                                                                                                                    (Estimativa: 5% dos empregados serão substituídos durante um ano)  - [(5%)/12] = 0,417%   art. 487 CLT - Sumula 305/TST, Ac.2.271/2010-TCU,  Lei nº 12506/2011.</t>
    </r>
  </si>
  <si>
    <r>
      <rPr>
        <b/>
        <sz val="10"/>
        <color theme="1"/>
        <rFont val="Calibri Light"/>
        <family val="2"/>
      </rPr>
      <t>Aviso Prévio Indenizado</t>
    </r>
    <r>
      <rPr>
        <sz val="10"/>
        <color theme="1"/>
        <rFont val="Calibri Light"/>
        <family val="2"/>
      </rPr>
      <t xml:space="preserve">                                                                                                                           (Estimativa: 5% dos empregados serão substituídos durante um ano)  - [(5%)/12] = 0,417%   art. 487 CLT - Sumula 305/TST, Ac.2.271/2010-TCU,  Lei nº 12506/2011.</t>
    </r>
  </si>
  <si>
    <r>
      <rPr>
        <b/>
        <sz val="10"/>
        <color theme="1"/>
        <rFont val="Calibri Light"/>
        <family val="2"/>
      </rPr>
      <t xml:space="preserve">Multa do FGTS e Contribuição Social sobre o Aviso Prévio Trabalhado </t>
    </r>
    <r>
      <rPr>
        <sz val="10"/>
        <color theme="1"/>
        <rFont val="Calibri Light"/>
        <family val="2"/>
      </rPr>
      <t>(50% x 1,944%)</t>
    </r>
  </si>
  <si>
    <t>Adicional de Periculosidade                                                                                                                 (PORTARIA Nº 1.078, DE 16 DE JULHO DE 2014 - MINISTÉRIO DO TRABALHO E EMPREGO)</t>
  </si>
  <si>
    <r>
      <rPr>
        <b/>
        <sz val="10"/>
        <color theme="1"/>
        <rFont val="Calibri Light"/>
        <family val="2"/>
      </rPr>
      <t xml:space="preserve">Aviso Prévio Indenizado                                                                                                              </t>
    </r>
    <r>
      <rPr>
        <sz val="10"/>
        <color theme="1"/>
        <rFont val="Calibri Light"/>
        <family val="2"/>
      </rPr>
      <t xml:space="preserve"> (Estimativa: 5% dos empregados serão substituídos durante um ano)  - [(5%)/12] = 0,417%   art. 487 CLT - Sumula 305/TST, Ac.2.271/2010-TCU,  Lei nº 12506/2011.</t>
    </r>
  </si>
  <si>
    <r>
      <rPr>
        <b/>
        <sz val="10"/>
        <color theme="1"/>
        <rFont val="Calibri Light"/>
        <family val="2"/>
      </rPr>
      <t>Aviso Prévio Trabalhado</t>
    </r>
    <r>
      <rPr>
        <sz val="10"/>
        <color theme="1"/>
        <rFont val="Calibri Light"/>
        <family val="2"/>
      </rPr>
      <t xml:space="preserve">                                                                                                               (redução de 7 dias/mes ou de 2 horas/dia, percentual relativo a contrato de 12 meses)   =   [(7/30)/12]*100=1,944%  (Ac.3006/2010-TCU; art.7º, XXI ,CF/88, 477, 487 e 491 CLT)</t>
    </r>
  </si>
  <si>
    <t>Adicional  de periculosidade                                                                                                                                                    (30% - Lei 7.369 de 20 de setembro de 1985 - Decreto Nº 93.412,de 14/10/1986)</t>
  </si>
  <si>
    <r>
      <rPr>
        <b/>
        <sz val="10"/>
        <color theme="1"/>
        <rFont val="Calibri Light"/>
        <family val="2"/>
      </rPr>
      <t>Aviso Prévio Indenizado</t>
    </r>
    <r>
      <rPr>
        <sz val="10"/>
        <color theme="1"/>
        <rFont val="Calibri Light"/>
        <family val="2"/>
      </rPr>
      <t xml:space="preserve">                                                                                                                                                       (Estimativa: 5% dos empregados serão substituídos durante um ano)  - [(5%)/12] = 0,417%   art. 487 CLT - Sumula 305/TST, Ac.2.271/2010-TCU,  Lei nº 12506/2011.</t>
    </r>
  </si>
  <si>
    <r>
      <rPr>
        <b/>
        <sz val="10"/>
        <color theme="1"/>
        <rFont val="Calibri Light"/>
        <family val="2"/>
      </rPr>
      <t xml:space="preserve">Multa do FGTS e Contribuição Social sobre o Aviso Prévio Indenizado </t>
    </r>
    <r>
      <rPr>
        <sz val="10"/>
        <color theme="1"/>
        <rFont val="Calibri Light"/>
        <family val="2"/>
      </rPr>
      <t xml:space="preserve">                                                      (multa de 40% sobre FGTS + 10% Contribuição Social) x Aviso Prévio Indenizado (0,417%) =  (0,417%)*0,50  =  0,209%  (Art. 18, § 1º da Lei nº 8.036/90,Art. 1º da Lei Complementar nº 110/2001)</t>
    </r>
  </si>
  <si>
    <t>Adicional Noturno - ((Valor Hora = (Salário Base + Ad. Peric)/220 hs x Qtd.horas (22:00 às 5:00hs=7hs) x (alíquota adic not = 22,5%) x (qtd.dias = 15,5)) -  ESCALA DE 12 X 36 HORAS - ADICIONAL NOTURNO - Parágrafo Terceiro - CLÁUSULA QUADRAGÉSIMA QUARTA - JORNADA ESPECIAL CCT/2018</t>
  </si>
  <si>
    <r>
      <rPr>
        <b/>
        <sz val="10"/>
        <color theme="1"/>
        <rFont val="Calibri Light"/>
        <family val="2"/>
      </rPr>
      <t>Aviso Prévio Indenizado</t>
    </r>
    <r>
      <rPr>
        <sz val="10"/>
        <color theme="1"/>
        <rFont val="Calibri Light"/>
        <family val="2"/>
      </rPr>
      <t xml:space="preserve">                                                                                                                (Estimativa: 5% dos empregados serão substituídos durante um ano)  - [(5%)/12] = 0,417%   art. 487 CLT - Sumula 305/TST, Ac.2.271/2010-TCU,  Lei nº 12506/2011.</t>
    </r>
  </si>
  <si>
    <r>
      <rPr>
        <b/>
        <sz val="10"/>
        <color theme="1"/>
        <rFont val="Calibri Light"/>
        <family val="2"/>
      </rPr>
      <t xml:space="preserve">Multa do FGTS e Contribuição Social sobre o Aviso Prévio Indenizado </t>
    </r>
    <r>
      <rPr>
        <sz val="10"/>
        <color theme="1"/>
        <rFont val="Calibri Light"/>
        <family val="2"/>
      </rPr>
      <t xml:space="preserve">                                   (multa de 40% sobre FGTS + 10% Contribuição Social) x Aviso Prévio Indenizado (0,417%) =  (0,417%)*0,50  =  0,209%  (Art. 18, § 1º da Lei nº 8.036/90,Art. 1º da Lei Complementar nº 110/2001)</t>
    </r>
  </si>
  <si>
    <t>Adicional de Periculosidade                                                                                                                                  (PORTARIA Nº 1.078, DE 16 DE JULHO DE 2014 - MINISTÉRIO DO TRABALHO E EMPREGO) - CLÁUSULA 13ª - ADICIONAL DE PERICULOSIDADE)</t>
  </si>
  <si>
    <t xml:space="preserve">Adicional  de periculosidade    </t>
  </si>
  <si>
    <r>
      <rPr>
        <b/>
        <sz val="10"/>
        <color theme="1"/>
        <rFont val="Calibri Light"/>
        <family val="2"/>
      </rPr>
      <t>Aviso Prévio Indenizado</t>
    </r>
    <r>
      <rPr>
        <sz val="10"/>
        <color theme="1"/>
        <rFont val="Calibri Light"/>
        <family val="2"/>
      </rPr>
      <t xml:space="preserve">                                                                                                                      (Estimativa: 5% dos empregados serão substituídos durante um ano)  - [(5%)/12] = 0,417%   art. 487 CLT - Sumula 305/TST, Ac.2.271/2010-TCU,  Lei nº 12506/2011.</t>
    </r>
  </si>
  <si>
    <t>1a. REPACTUAÇÃO</t>
  </si>
  <si>
    <r>
      <t> </t>
    </r>
    <r>
      <rPr>
        <b/>
        <sz val="10"/>
        <color theme="1"/>
        <rFont val="Calibri"/>
        <family val="2"/>
        <scheme val="minor"/>
      </rPr>
      <t>MÓDULO 1 :   COMPOSIÇÃO DA REMUNERAÇÃO</t>
    </r>
  </si>
  <si>
    <r>
      <rPr>
        <b/>
        <sz val="10"/>
        <color theme="1"/>
        <rFont val="Calibri"/>
        <family val="2"/>
        <scheme val="minor"/>
      </rPr>
      <t xml:space="preserve">SEGURO DE VIDA E ACIDENTES PESSOAIS EM GRUPOS                                                 </t>
    </r>
    <r>
      <rPr>
        <sz val="10"/>
        <color theme="1"/>
        <rFont val="Calibri"/>
        <family val="2"/>
        <scheme val="minor"/>
      </rPr>
      <t xml:space="preserve">                                - CLÁUSULA DÉCIMA SEGUNDA - (incidência 6%/ano)</t>
    </r>
  </si>
  <si>
    <r>
      <rPr>
        <b/>
        <sz val="10"/>
        <color theme="1"/>
        <rFont val="Calibri"/>
        <family val="2"/>
        <scheme val="minor"/>
      </rPr>
      <t>Incidência do FGTS sobre o Aviso Prévio Indenizado</t>
    </r>
    <r>
      <rPr>
        <sz val="10"/>
        <color theme="1"/>
        <rFont val="Calibri"/>
        <family val="2"/>
        <scheme val="minor"/>
      </rPr>
      <t xml:space="preserve"> (8% x 0,417%)</t>
    </r>
  </si>
  <si>
    <r>
      <rPr>
        <b/>
        <sz val="10"/>
        <color theme="1"/>
        <rFont val="Calibri"/>
        <family val="2"/>
        <scheme val="minor"/>
      </rPr>
      <t>Multa do FGTS e Contribuição Social sobre o Aviso Prévio Trabalhado</t>
    </r>
    <r>
      <rPr>
        <sz val="10"/>
        <color theme="1"/>
        <rFont val="Calibri"/>
        <family val="2"/>
        <scheme val="minor"/>
      </rPr>
      <t xml:space="preserve"> (50% x 1,944%)</t>
    </r>
  </si>
  <si>
    <r>
      <rPr>
        <b/>
        <sz val="10"/>
        <color theme="1"/>
        <rFont val="Calibri"/>
        <family val="2"/>
        <scheme val="minor"/>
      </rPr>
      <t>C.1.</t>
    </r>
    <r>
      <rPr>
        <sz val="10"/>
        <color theme="1"/>
        <rFont val="Calibri"/>
        <family val="2"/>
        <scheme val="minor"/>
      </rPr>
      <t xml:space="preserve"> Tributos Federais - PIS (0,65% ) + COFINS (3,00%) + CPRB (4,50%)</t>
    </r>
  </si>
  <si>
    <r>
      <rPr>
        <b/>
        <sz val="10"/>
        <color theme="1"/>
        <rFont val="Calibri"/>
        <family val="2"/>
        <scheme val="minor"/>
      </rPr>
      <t>C.2.</t>
    </r>
    <r>
      <rPr>
        <sz val="10"/>
        <color theme="1"/>
        <rFont val="Calibri"/>
        <family val="2"/>
        <scheme val="minor"/>
      </rPr>
      <t xml:space="preserve"> Tributos Estaduais  - ISS (2%) </t>
    </r>
  </si>
  <si>
    <r>
      <rPr>
        <b/>
        <sz val="10"/>
        <color theme="1"/>
        <rFont val="Calibri"/>
        <family val="2"/>
        <scheme val="minor"/>
      </rPr>
      <t xml:space="preserve">Módulo 1 </t>
    </r>
    <r>
      <rPr>
        <sz val="10"/>
        <color theme="1"/>
        <rFont val="Calibri"/>
        <family val="2"/>
        <scheme val="minor"/>
      </rPr>
      <t>– Composição da Remuneração</t>
    </r>
  </si>
  <si>
    <r>
      <rPr>
        <b/>
        <sz val="10"/>
        <color theme="1"/>
        <rFont val="Calibri"/>
        <family val="2"/>
        <scheme val="minor"/>
      </rPr>
      <t xml:space="preserve">Módulo 2 </t>
    </r>
    <r>
      <rPr>
        <sz val="10"/>
        <color theme="1"/>
        <rFont val="Calibri"/>
        <family val="2"/>
        <scheme val="minor"/>
      </rPr>
      <t>– Encargos e Benefícios Anuais, Mensais e Diários</t>
    </r>
  </si>
  <si>
    <r>
      <rPr>
        <b/>
        <sz val="10"/>
        <color theme="1"/>
        <rFont val="Calibri"/>
        <family val="2"/>
        <scheme val="minor"/>
      </rPr>
      <t>Módulo 3</t>
    </r>
    <r>
      <rPr>
        <sz val="10"/>
        <color theme="1"/>
        <rFont val="Calibri"/>
        <family val="2"/>
        <scheme val="minor"/>
      </rPr>
      <t xml:space="preserve"> – Provisão para Rescisão</t>
    </r>
  </si>
  <si>
    <r>
      <rPr>
        <b/>
        <sz val="10"/>
        <color theme="1"/>
        <rFont val="Calibri"/>
        <family val="2"/>
        <scheme val="minor"/>
      </rPr>
      <t>Módulo 4</t>
    </r>
    <r>
      <rPr>
        <sz val="10"/>
        <color theme="1"/>
        <rFont val="Calibri"/>
        <family val="2"/>
        <scheme val="minor"/>
      </rPr>
      <t xml:space="preserve"> – Custo de Reposição do Profissional Ausente</t>
    </r>
  </si>
  <si>
    <r>
      <rPr>
        <b/>
        <sz val="10"/>
        <color theme="1"/>
        <rFont val="Calibri"/>
        <family val="2"/>
        <scheme val="minor"/>
      </rPr>
      <t>Módulo 5</t>
    </r>
    <r>
      <rPr>
        <sz val="10"/>
        <color theme="1"/>
        <rFont val="Calibri"/>
        <family val="2"/>
        <scheme val="minor"/>
      </rPr>
      <t xml:space="preserve"> - Insumos Diversos</t>
    </r>
  </si>
  <si>
    <r>
      <rPr>
        <b/>
        <sz val="10"/>
        <color theme="1"/>
        <rFont val="Calibri"/>
        <family val="2"/>
        <scheme val="minor"/>
      </rPr>
      <t>Módulo 6</t>
    </r>
    <r>
      <rPr>
        <sz val="10"/>
        <color theme="1"/>
        <rFont val="Calibri"/>
        <family val="2"/>
        <scheme val="minor"/>
      </rPr>
      <t xml:space="preserve"> – Custos Indiretos, Tributos e Lucro</t>
    </r>
  </si>
  <si>
    <t xml:space="preserve">MINISTÉRIO DE MINAS E ENERGIA                                                                                                                                                                                                                  Secretaria Executiva                                                                                                                                                                                                                                            Subsecretaria de Planejamento, Orçamento e Administração                                                                                                                                                                                                         Coordenação Geral de Recursos Logísticos                                                                                                                                                                                                                    Coordenação de Atividades Gerais </t>
  </si>
  <si>
    <t>_</t>
  </si>
  <si>
    <r>
      <rPr>
        <b/>
        <sz val="9"/>
        <color theme="1"/>
        <rFont val="Calibri Light"/>
        <family val="2"/>
      </rPr>
      <t>Nota 1:</t>
    </r>
    <r>
      <rPr>
        <sz val="9"/>
        <color theme="1"/>
        <rFont val="Calibri Light"/>
        <family val="2"/>
      </rPr>
      <t xml:space="preserve"> O </t>
    </r>
    <r>
      <rPr>
        <b/>
        <sz val="9"/>
        <color theme="1"/>
        <rFont val="Calibri Light"/>
        <family val="2"/>
      </rPr>
      <t>Módulo 1</t>
    </r>
    <r>
      <rPr>
        <sz val="9"/>
        <color theme="1"/>
        <rFont val="Calibri Light"/>
        <family val="2"/>
      </rPr>
      <t xml:space="preserve"> refere-se ao valor mensal devido ao empregado pela prestação do serviço no período de 12 meses. </t>
    </r>
  </si>
  <si>
    <r>
      <rPr>
        <b/>
        <sz val="10"/>
        <color theme="1"/>
        <rFont val="Calibri Light"/>
        <family val="2"/>
      </rPr>
      <t xml:space="preserve">Auxílio Transporte </t>
    </r>
    <r>
      <rPr>
        <sz val="9"/>
        <color theme="1"/>
        <rFont val="Calibri Light"/>
        <family val="2"/>
      </rPr>
      <t>((R$ 5,00+R$ 2,50)x2x21,5 dias) - 6% Salário Base  - Itinerário: Cidade Satélite/Estação Rodoviária P.P/Esplanada/Vice-versa - CLÁUSULA DÉCIMA QUARTA - VALE-TRANSPORTE CCT2018</t>
    </r>
  </si>
  <si>
    <r>
      <rPr>
        <b/>
        <sz val="10"/>
        <color theme="1"/>
        <rFont val="Calibri Light"/>
        <family val="2"/>
      </rPr>
      <t>Auxílio Refeição/Alimentação</t>
    </r>
    <r>
      <rPr>
        <sz val="9"/>
        <color theme="1"/>
        <rFont val="Calibri Light"/>
        <family val="2"/>
      </rPr>
      <t xml:space="preserve"> (Tiquete refeição de R$31,50 x 21,5 dias efetivamente trabalhados) - CLÁUSULA DÉCIMA TERCEIRA - AUXÍLIO ALIMENTAÇÃO- AUXÍLIO ALIMENTAÇÃO CCT2018</t>
    </r>
  </si>
  <si>
    <r>
      <rPr>
        <b/>
        <sz val="10"/>
        <color theme="1"/>
        <rFont val="Calibri Light"/>
        <family val="2"/>
      </rPr>
      <t>Auxílio Transporte</t>
    </r>
    <r>
      <rPr>
        <sz val="10"/>
        <color theme="1"/>
        <rFont val="Calibri Light"/>
        <family val="2"/>
      </rPr>
      <t xml:space="preserve"> </t>
    </r>
    <r>
      <rPr>
        <sz val="9"/>
        <color theme="1"/>
        <rFont val="Calibri Light"/>
        <family val="2"/>
      </rPr>
      <t>((R$ 5,00+R$ 2,50)x2x21,5 dias) - 6% Salário Base  - Itinerário: Cidade Satélite/Estação Rodoviária P.P/Esplanada/Vice-versa - CLÁUSULA DÉCIMA QUINTA - VALE-TRANSPORTE CCT2018</t>
    </r>
  </si>
  <si>
    <r>
      <rPr>
        <b/>
        <sz val="10"/>
        <color theme="1"/>
        <rFont val="Calibri Light"/>
        <family val="2"/>
      </rPr>
      <t>Auxílio Refeição/Alimentação</t>
    </r>
    <r>
      <rPr>
        <sz val="10"/>
        <color theme="1"/>
        <rFont val="Calibri Light"/>
        <family val="2"/>
      </rPr>
      <t xml:space="preserve"> </t>
    </r>
    <r>
      <rPr>
        <sz val="9"/>
        <color theme="1"/>
        <rFont val="Calibri Light"/>
        <family val="2"/>
      </rPr>
      <t>(Tiquete refeição de R$31,50 x 21,5 dias efetivamente trabalhados) - CLÁUSULA DÉCIMA QUARTA - AUXÍLIO ALIMENTAÇÃO- AUXÍLIO ALIMENTAÇÃO CCT2018</t>
    </r>
  </si>
  <si>
    <r>
      <rPr>
        <b/>
        <sz val="10"/>
        <color theme="1"/>
        <rFont val="Calibri Light"/>
        <family val="2"/>
      </rPr>
      <t>Auxílio Transporte</t>
    </r>
    <r>
      <rPr>
        <sz val="10"/>
        <color theme="1"/>
        <rFont val="Calibri Light"/>
        <family val="2"/>
      </rPr>
      <t xml:space="preserve"> </t>
    </r>
    <r>
      <rPr>
        <sz val="9"/>
        <color theme="1"/>
        <rFont val="Calibri Light"/>
        <family val="2"/>
      </rPr>
      <t>((R$ 5,00+R$ 2,50)x2x21,5 dias) - 6% Salário Base  - Itinerário: Cidade Satélite/Estação Rodoviária P.P/Esplanada/Vice-versa - CLÁUSULA DÉCIMA QUARTA - VALE-TRANSPORTE CCT/2018</t>
    </r>
  </si>
  <si>
    <r>
      <rPr>
        <b/>
        <sz val="10"/>
        <color theme="1"/>
        <rFont val="Calibri Light"/>
        <family val="2"/>
      </rPr>
      <t>Auxílio Refeição/Alimentação</t>
    </r>
    <r>
      <rPr>
        <sz val="10"/>
        <color theme="1"/>
        <rFont val="Calibri Light"/>
        <family val="2"/>
      </rPr>
      <t xml:space="preserve"> </t>
    </r>
    <r>
      <rPr>
        <sz val="9"/>
        <color theme="1"/>
        <rFont val="Calibri Light"/>
        <family val="2"/>
      </rPr>
      <t>(Tiquete refeição de R$31,50 x 21,5 dias efetivamente trabalhados) - CLÁUSULA DÉCIMA TERCEIRA - AUXÍLIO ALIMENTAÇÃO- AUXÍLIO ALIMENTAÇÃO CCT/2018</t>
    </r>
  </si>
  <si>
    <r>
      <rPr>
        <b/>
        <sz val="10"/>
        <color theme="1"/>
        <rFont val="Calibri Light"/>
        <family val="2"/>
      </rPr>
      <t xml:space="preserve">Incidência dos encargos do Submódulo 2.2 </t>
    </r>
    <r>
      <rPr>
        <sz val="9"/>
        <color theme="1"/>
        <rFont val="Calibri Light"/>
        <family val="2"/>
      </rPr>
      <t>sobre o Aviso Prévio Trabalhado (36,8% x 1,94%)</t>
    </r>
  </si>
  <si>
    <r>
      <rPr>
        <b/>
        <sz val="10"/>
        <color theme="1"/>
        <rFont val="Calibri Light"/>
        <family val="2"/>
      </rPr>
      <t>Multa do FGTS e Contribuição Social sobre o Aviso Prévio Trabalhado</t>
    </r>
    <r>
      <rPr>
        <sz val="9"/>
        <color theme="1"/>
        <rFont val="Calibri Light"/>
        <family val="2"/>
      </rPr>
      <t xml:space="preserve"> (50% x 1,944%)</t>
    </r>
  </si>
  <si>
    <r>
      <rPr>
        <b/>
        <sz val="8"/>
        <color theme="1"/>
        <rFont val="Calibri Light"/>
        <family val="2"/>
      </rPr>
      <t xml:space="preserve">Nota 1: </t>
    </r>
    <r>
      <rPr>
        <sz val="8"/>
        <color theme="1"/>
        <rFont val="Calibri Light"/>
        <family val="2"/>
      </rPr>
      <t>Como a planilha de custos e formação de preços é calculada mensalmente, provisiona-se proporcionalmente 1/12 (um doze avos) dos valores referentes a gratificação natalina, férias e adicional de férias.</t>
    </r>
  </si>
  <si>
    <r>
      <rPr>
        <b/>
        <sz val="8"/>
        <color theme="1"/>
        <rFont val="Calibri Light"/>
        <family val="2"/>
      </rPr>
      <t xml:space="preserve">Nota 2: </t>
    </r>
    <r>
      <rPr>
        <sz val="8"/>
        <color theme="1"/>
        <rFont val="Calibri Light"/>
        <family val="2"/>
      </rPr>
      <t>O adicional de férias contido no Submódulo 2.1 corresponde a 1/3 (um terço) da remuneração que por sua vez é divido por 12 (doze) conforme Nota 1 acima</t>
    </r>
  </si>
  <si>
    <r>
      <rPr>
        <b/>
        <sz val="8"/>
        <color rgb="FF000000"/>
        <rFont val="Calibri Light"/>
        <family val="2"/>
      </rPr>
      <t xml:space="preserve">Nota 3: </t>
    </r>
    <r>
      <rPr>
        <sz val="8"/>
        <color rgb="FF000000"/>
        <rFont val="Calibri Light"/>
        <family val="2"/>
      </rPr>
      <t>Levando em consideração a vigência contratual prevista no art. 57 da Lei nº 8.666, de 23 de junho de 1993, a rubrica férias tem como objetivo principal suprir a necessidade do pagamento das férias remuneradas ao final do contrato de 12 meses. </t>
    </r>
    <r>
      <rPr>
        <b/>
        <sz val="8"/>
        <color rgb="FF000000"/>
        <rFont val="Calibri Light"/>
        <family val="2"/>
      </rPr>
      <t>Esta rubrica, quando da prorrogação contratual, torna-se custo não renovável.</t>
    </r>
  </si>
  <si>
    <r>
      <rPr>
        <b/>
        <sz val="8"/>
        <color theme="1"/>
        <rFont val="Calibri Light"/>
        <family val="2"/>
      </rPr>
      <t>Nota 1:</t>
    </r>
    <r>
      <rPr>
        <sz val="8"/>
        <color theme="1"/>
        <rFont val="Calibri Light"/>
        <family val="2"/>
      </rPr>
      <t xml:space="preserve"> Os percentuais dos encargos previdenciários, do FGTS e demais contribuições são aqueles estabelecidos pela legislação vigente.</t>
    </r>
  </si>
  <si>
    <r>
      <rPr>
        <b/>
        <sz val="8"/>
        <color theme="1"/>
        <rFont val="Calibri Light"/>
        <family val="2"/>
      </rPr>
      <t xml:space="preserve">Nota 2: </t>
    </r>
    <r>
      <rPr>
        <sz val="8"/>
        <color theme="1"/>
        <rFont val="Calibri Light"/>
        <family val="2"/>
      </rPr>
      <t>O</t>
    </r>
    <r>
      <rPr>
        <b/>
        <sz val="8"/>
        <color theme="1"/>
        <rFont val="Calibri Light"/>
        <family val="2"/>
      </rPr>
      <t xml:space="preserve"> SAT</t>
    </r>
    <r>
      <rPr>
        <sz val="8"/>
        <color theme="1"/>
        <rFont val="Calibri Light"/>
        <family val="2"/>
      </rPr>
      <t xml:space="preserve"> a depender do grau de risco do serviço irá </t>
    </r>
    <r>
      <rPr>
        <b/>
        <sz val="8"/>
        <color theme="1"/>
        <rFont val="Calibri Light"/>
        <family val="2"/>
      </rPr>
      <t>variar entre 1%, para risco leve, de 2%, para risco médio, e de 3% de risco grave.</t>
    </r>
  </si>
  <si>
    <r>
      <rPr>
        <b/>
        <sz val="8"/>
        <color theme="1"/>
        <rFont val="Calibri Light"/>
        <family val="2"/>
      </rPr>
      <t xml:space="preserve">Nota 1: </t>
    </r>
    <r>
      <rPr>
        <sz val="8"/>
        <color theme="1"/>
        <rFont val="Calibri Light"/>
        <family val="2"/>
      </rPr>
      <t>O valor informado deverá ser o custo real do benefício (descontado o valor eventualmente pago pelo empregado).</t>
    </r>
  </si>
  <si>
    <r>
      <rPr>
        <b/>
        <sz val="8"/>
        <color theme="1"/>
        <rFont val="Calibri Light"/>
        <family val="2"/>
      </rPr>
      <t xml:space="preserve">Nota 2: </t>
    </r>
    <r>
      <rPr>
        <sz val="8"/>
        <color theme="1"/>
        <rFont val="Calibri Light"/>
        <family val="2"/>
      </rPr>
      <t>Observar a previsão dos benefícios contidos em Acordos, Convenções e Dissídios Coletivos de Trabalho e atentar-se ao disposto no art. 6º desta Instrução Normativa.</t>
    </r>
  </si>
  <si>
    <r>
      <rPr>
        <b/>
        <sz val="8"/>
        <color theme="1"/>
        <rFont val="Calibri Light"/>
        <family val="2"/>
      </rPr>
      <t>Nota:</t>
    </r>
    <r>
      <rPr>
        <sz val="8"/>
        <color theme="1"/>
        <rFont val="Calibri Light"/>
        <family val="2"/>
      </rPr>
      <t xml:space="preserve"> Valores mensais por empregado</t>
    </r>
  </si>
  <si>
    <r>
      <rPr>
        <b/>
        <sz val="8"/>
        <color theme="1"/>
        <rFont val="Calibri Light"/>
        <family val="2"/>
      </rPr>
      <t xml:space="preserve">Nota 1: </t>
    </r>
    <r>
      <rPr>
        <sz val="8"/>
        <color theme="1"/>
        <rFont val="Calibri Light"/>
        <family val="2"/>
      </rPr>
      <t>Custos Indiretos, Tributos e Lucro por empregado</t>
    </r>
  </si>
  <si>
    <r>
      <rPr>
        <b/>
        <sz val="8"/>
        <color theme="1"/>
        <rFont val="Calibri Light"/>
        <family val="2"/>
      </rPr>
      <t>Nota 2:</t>
    </r>
    <r>
      <rPr>
        <sz val="8"/>
        <color theme="1"/>
        <rFont val="Calibri Light"/>
        <family val="2"/>
      </rPr>
      <t xml:space="preserve"> O valor referente a tributos é obtido aplicando-se o percentual sobre o valor do faturamento.</t>
    </r>
  </si>
  <si>
    <r>
      <rPr>
        <b/>
        <sz val="8"/>
        <color theme="1"/>
        <rFont val="Calibri Light"/>
        <family val="2"/>
      </rPr>
      <t>Nota:</t>
    </r>
    <r>
      <rPr>
        <sz val="8"/>
        <color theme="1"/>
        <rFont val="Calibri Light"/>
        <family val="2"/>
      </rPr>
      <t xml:space="preserve"> Quando houver a necessidade de reposição de um empregado durante sua ausência nos casos de intervalo para repouso ou alimentação deve-se contemplar o Submódulo 4.2.</t>
    </r>
  </si>
  <si>
    <r>
      <rPr>
        <b/>
        <sz val="8"/>
        <color theme="1"/>
        <rFont val="Calibri Light"/>
        <family val="2"/>
      </rPr>
      <t xml:space="preserve">Nota: </t>
    </r>
    <r>
      <rPr>
        <sz val="8"/>
        <color theme="1"/>
        <rFont val="Calibri Light"/>
        <family val="2"/>
      </rPr>
      <t>Valores mensais por empregado</t>
    </r>
  </si>
  <si>
    <r>
      <rPr>
        <b/>
        <sz val="8"/>
        <color theme="1"/>
        <rFont val="Calibri Light"/>
        <family val="2"/>
      </rPr>
      <t xml:space="preserve">Nota 2: </t>
    </r>
    <r>
      <rPr>
        <sz val="8"/>
        <color theme="1"/>
        <rFont val="Calibri Light"/>
        <family val="2"/>
      </rPr>
      <t>O valor referente a tributos é obtido aplicando-se o percentual sobre o valor do faturamento.</t>
    </r>
  </si>
  <si>
    <r>
      <rPr>
        <b/>
        <sz val="8"/>
        <color theme="1"/>
        <rFont val="Calibri Light"/>
        <family val="2"/>
      </rPr>
      <t>Nota 1:</t>
    </r>
    <r>
      <rPr>
        <sz val="8"/>
        <color theme="1"/>
        <rFont val="Calibri Light"/>
        <family val="2"/>
      </rPr>
      <t xml:space="preserve"> O valor informado deverá ser o custo real do benefício (descontado o valor eventualmente pago pelo empregado).</t>
    </r>
  </si>
  <si>
    <r>
      <rPr>
        <b/>
        <sz val="8"/>
        <color theme="1"/>
        <rFont val="Calibri Light"/>
        <family val="2"/>
      </rPr>
      <t>Nota 1:</t>
    </r>
    <r>
      <rPr>
        <sz val="8"/>
        <color theme="1"/>
        <rFont val="Calibri Light"/>
        <family val="2"/>
      </rPr>
      <t xml:space="preserve"> Custos Indiretos, Tributos e Lucro por empregado</t>
    </r>
  </si>
  <si>
    <r>
      <rPr>
        <b/>
        <sz val="8"/>
        <color theme="1"/>
        <rFont val="Calibri Light"/>
        <family val="2"/>
      </rPr>
      <t>Nota 1:</t>
    </r>
    <r>
      <rPr>
        <sz val="8"/>
        <color theme="1"/>
        <rFont val="Calibri Light"/>
        <family val="2"/>
      </rPr>
      <t xml:space="preserve"> O </t>
    </r>
    <r>
      <rPr>
        <b/>
        <sz val="8"/>
        <color theme="1"/>
        <rFont val="Calibri Light"/>
        <family val="2"/>
      </rPr>
      <t>Módulo 1</t>
    </r>
    <r>
      <rPr>
        <sz val="8"/>
        <color theme="1"/>
        <rFont val="Calibri Light"/>
        <family val="2"/>
      </rPr>
      <t xml:space="preserve"> refere-se ao valor mensal devido ao empregado pela prestação do serviço no período de 12 meses. </t>
    </r>
  </si>
  <si>
    <r>
      <rPr>
        <b/>
        <sz val="10"/>
        <color theme="1"/>
        <rFont val="Calibri"/>
        <family val="2"/>
        <scheme val="minor"/>
      </rPr>
      <t xml:space="preserve">Incidência dos encargos do Submódulo 2.2 </t>
    </r>
    <r>
      <rPr>
        <sz val="8"/>
        <color theme="1"/>
        <rFont val="Calibri"/>
        <family val="2"/>
        <scheme val="minor"/>
      </rPr>
      <t>sobre o Aviso Prévio Trabalhado (36,8% x 1,94%)</t>
    </r>
  </si>
  <si>
    <r>
      <rPr>
        <b/>
        <sz val="8"/>
        <color theme="1"/>
        <rFont val="Calibri"/>
        <family val="2"/>
        <scheme val="minor"/>
      </rPr>
      <t>Nota:</t>
    </r>
    <r>
      <rPr>
        <sz val="8"/>
        <color theme="1"/>
        <rFont val="Calibri"/>
        <family val="2"/>
        <scheme val="minor"/>
      </rPr>
      <t xml:space="preserve"> Valores mensais por empregado</t>
    </r>
  </si>
  <si>
    <t>Data base da categoria (dia/mês/ano) - Vigência  1º de janeiro de 2018 a 31 de dezembro/2018</t>
  </si>
  <si>
    <r>
      <rPr>
        <b/>
        <sz val="10"/>
        <color theme="1"/>
        <rFont val="Calibri Light"/>
        <family val="2"/>
      </rPr>
      <t>Auxílio Transporte</t>
    </r>
    <r>
      <rPr>
        <sz val="9"/>
        <color theme="1"/>
        <rFont val="Calibri Light"/>
        <family val="2"/>
      </rPr>
      <t xml:space="preserve"> ((R$ 5,00+R$ 2,50)x2x21,5 dias) - 6% Salário Base  - Itinerário: Entorno/Estação Rodoviária P.P/Esplanada/Vice-versa - CLÁUSULA DÉCIMA QUARTA - VALE-TRANSPORTE CCT2018</t>
    </r>
  </si>
  <si>
    <r>
      <rPr>
        <b/>
        <sz val="10"/>
        <color theme="1"/>
        <rFont val="Calibri Light"/>
        <family val="2"/>
      </rPr>
      <t xml:space="preserve">Auxílio Refeição/Alimentação </t>
    </r>
    <r>
      <rPr>
        <sz val="9"/>
        <color theme="1"/>
        <rFont val="Calibri Light"/>
        <family val="2"/>
      </rPr>
      <t>(Tiquete refeição de R$31,50 x 21,5 dias efetivamente trabalhados) - CLÁUSULA DÉCIMA TERCEIRA - AUXÍLIO ALIMENTAÇÃO- AUXÍLIO ALIMENTAÇÃO CCT2018</t>
    </r>
  </si>
  <si>
    <r>
      <rPr>
        <b/>
        <sz val="7"/>
        <color theme="1"/>
        <rFont val="Calibri"/>
        <family val="2"/>
        <scheme val="minor"/>
      </rPr>
      <t>Nota 1:</t>
    </r>
    <r>
      <rPr>
        <sz val="7"/>
        <color theme="1"/>
        <rFont val="Calibri"/>
        <family val="2"/>
        <scheme val="minor"/>
      </rPr>
      <t xml:space="preserve"> Esta tabela poderá ser adaptada às características do serviço contratado, inclusive no que concerne às rubricas e suas respectivas provisões e/ou estimativas, desde que haja justificativa.</t>
    </r>
  </si>
  <si>
    <r>
      <rPr>
        <b/>
        <sz val="7.5"/>
        <color theme="1"/>
        <rFont val="Calibri Light"/>
        <family val="2"/>
      </rPr>
      <t>Nota 1:</t>
    </r>
    <r>
      <rPr>
        <sz val="7.5"/>
        <color theme="1"/>
        <rFont val="Calibri Light"/>
        <family val="2"/>
      </rPr>
      <t xml:space="preserve"> Esta tabela poderá ser adaptada às características do serviço contratado, inclusive no que concerne às rubricas e suas respectivas provisões e/ou estimativas, desde que haja justificativa.</t>
    </r>
  </si>
  <si>
    <r>
      <rPr>
        <b/>
        <sz val="7.5"/>
        <color theme="1"/>
        <rFont val="Calibri Light"/>
        <family val="2"/>
      </rPr>
      <t>Nota 2:</t>
    </r>
    <r>
      <rPr>
        <sz val="7.5"/>
        <color theme="1"/>
        <rFont val="Calibri Light"/>
        <family val="2"/>
      </rPr>
      <t xml:space="preserve"> As provisões constantes desta planilha poderão ser desnecessárias quando se tratar de determinados serviços que prescindam da dedicação exclusiva dos trabalhadores da contratada para com a Administração.</t>
    </r>
  </si>
  <si>
    <r>
      <rPr>
        <b/>
        <sz val="7.5"/>
        <color theme="1"/>
        <rFont val="Calibri Light"/>
        <family val="2"/>
      </rPr>
      <t xml:space="preserve">Nota 1: </t>
    </r>
    <r>
      <rPr>
        <sz val="7.5"/>
        <color theme="1"/>
        <rFont val="Calibri Light"/>
        <family val="2"/>
      </rPr>
      <t>Como a planilha de custos e formação de preços é calculada mensalmente, provisiona-se proporcionalmente 1/12 (um doze avos) dos valores referentes a gratificação natalina, férias e adicional de férias.</t>
    </r>
  </si>
  <si>
    <r>
      <rPr>
        <b/>
        <sz val="7.5"/>
        <color theme="1"/>
        <rFont val="Calibri Light"/>
        <family val="2"/>
      </rPr>
      <t xml:space="preserve">Nota 2: </t>
    </r>
    <r>
      <rPr>
        <sz val="7.5"/>
        <color theme="1"/>
        <rFont val="Calibri Light"/>
        <family val="2"/>
      </rPr>
      <t>O adicional de férias contido no Submódulo 2.1 corresponde a 1/3 (um terço) da remuneração que por sua vez é divido por 12 (doze) conforme Nota 1 acima</t>
    </r>
  </si>
  <si>
    <r>
      <rPr>
        <b/>
        <sz val="7.5"/>
        <color rgb="FF000000"/>
        <rFont val="Calibri Light"/>
        <family val="2"/>
      </rPr>
      <t xml:space="preserve">Nota 3: </t>
    </r>
    <r>
      <rPr>
        <sz val="7.5"/>
        <color rgb="FF000000"/>
        <rFont val="Calibri Light"/>
        <family val="2"/>
      </rPr>
      <t>Levando em consideração a vigência contratual prevista no art. 57 da Lei nº 8.666, de 23 de junho de 1993, a rubrica férias tem como objetivo principal suprir a necessidade do pagamento das férias remuneradas ao final do contrato de 12 meses. </t>
    </r>
    <r>
      <rPr>
        <b/>
        <sz val="7.5"/>
        <color rgb="FF000000"/>
        <rFont val="Calibri Light"/>
        <family val="2"/>
      </rPr>
      <t>Esta rubrica, quando da prorrogação contratual, torna-se custo não renovável.</t>
    </r>
  </si>
  <si>
    <r>
      <rPr>
        <b/>
        <sz val="7.5"/>
        <color theme="1"/>
        <rFont val="Calibri Light"/>
        <family val="2"/>
      </rPr>
      <t>Nota 1:</t>
    </r>
    <r>
      <rPr>
        <sz val="7.5"/>
        <color theme="1"/>
        <rFont val="Calibri Light"/>
        <family val="2"/>
      </rPr>
      <t xml:space="preserve"> Os percentuais dos encargos previdenciários, do FGTS e demais contribuições são aqueles estabelecidos pela legislação vigente.</t>
    </r>
  </si>
  <si>
    <r>
      <rPr>
        <b/>
        <sz val="7.5"/>
        <color theme="1"/>
        <rFont val="Calibri Light"/>
        <family val="2"/>
      </rPr>
      <t xml:space="preserve">Nota 2: </t>
    </r>
    <r>
      <rPr>
        <sz val="7.5"/>
        <color theme="1"/>
        <rFont val="Calibri Light"/>
        <family val="2"/>
      </rPr>
      <t>O</t>
    </r>
    <r>
      <rPr>
        <b/>
        <sz val="7.5"/>
        <color theme="1"/>
        <rFont val="Calibri Light"/>
        <family val="2"/>
      </rPr>
      <t xml:space="preserve"> SAT</t>
    </r>
    <r>
      <rPr>
        <sz val="7.5"/>
        <color theme="1"/>
        <rFont val="Calibri Light"/>
        <family val="2"/>
      </rPr>
      <t xml:space="preserve"> a depender do grau de risco do serviço irá </t>
    </r>
    <r>
      <rPr>
        <b/>
        <sz val="7.5"/>
        <color theme="1"/>
        <rFont val="Calibri Light"/>
        <family val="2"/>
      </rPr>
      <t>variar entre 1%, para risco leve, de 2%, para risco médio, e de 3% de risco grave.</t>
    </r>
  </si>
  <si>
    <r>
      <rPr>
        <b/>
        <sz val="7.5"/>
        <color theme="1"/>
        <rFont val="Calibri Light"/>
        <family val="2"/>
      </rPr>
      <t>Nota 1:</t>
    </r>
    <r>
      <rPr>
        <sz val="7.5"/>
        <color theme="1"/>
        <rFont val="Calibri Light"/>
        <family val="2"/>
      </rPr>
      <t xml:space="preserve"> O valor informado deverá ser o custo real do benefício (descontado o valor eventualmente pago pelo empregado).</t>
    </r>
  </si>
  <si>
    <r>
      <rPr>
        <b/>
        <sz val="7.5"/>
        <color theme="1"/>
        <rFont val="Calibri Light"/>
        <family val="2"/>
      </rPr>
      <t xml:space="preserve">Nota 2: </t>
    </r>
    <r>
      <rPr>
        <sz val="7.5"/>
        <color theme="1"/>
        <rFont val="Calibri Light"/>
        <family val="2"/>
      </rPr>
      <t>Observar a previsão dos benefícios contidos em Acordos, Convenções e Dissídios Coletivos de Trabalho e atentar-se ao disposto no art. 6º desta Instrução Normativa.</t>
    </r>
  </si>
  <si>
    <r>
      <t xml:space="preserve">Nota 1: </t>
    </r>
    <r>
      <rPr>
        <sz val="7.5"/>
        <color theme="1"/>
        <rFont val="Calibri Light"/>
        <family val="2"/>
      </rPr>
      <t>Os itens que contemplam o</t>
    </r>
    <r>
      <rPr>
        <b/>
        <sz val="7.5"/>
        <color theme="1"/>
        <rFont val="Calibri Light"/>
        <family val="2"/>
      </rPr>
      <t xml:space="preserve"> módulo 4 se referem ao custo dos dias trabalhados pelo repositor/substituto, quando </t>
    </r>
    <r>
      <rPr>
        <sz val="7.5"/>
        <color theme="1"/>
        <rFont val="Calibri Light"/>
        <family val="2"/>
      </rPr>
      <t>o empregado</t>
    </r>
    <r>
      <rPr>
        <b/>
        <sz val="7.5"/>
        <color theme="1"/>
        <rFont val="Calibri Light"/>
        <family val="2"/>
      </rPr>
      <t xml:space="preserve"> alocado na prestação de serviço estiver ausente, </t>
    </r>
    <r>
      <rPr>
        <sz val="7.5"/>
        <color theme="1"/>
        <rFont val="Calibri Light"/>
        <family val="2"/>
      </rPr>
      <t>conforme as previsões estabelecidas na legislação.</t>
    </r>
  </si>
  <si>
    <r>
      <rPr>
        <b/>
        <sz val="7.5"/>
        <color theme="1"/>
        <rFont val="Calibri Light"/>
        <family val="2"/>
      </rPr>
      <t>Nota:</t>
    </r>
    <r>
      <rPr>
        <sz val="7.5"/>
        <color theme="1"/>
        <rFont val="Calibri Light"/>
        <family val="2"/>
      </rPr>
      <t xml:space="preserve"> As alíneas “A” a “F” referem-se somente ao custo que será pago ao repositor pelos dias trabalhados quando da necessidade de substituir a mão de obra alocada na prestação do serviço.</t>
    </r>
  </si>
  <si>
    <r>
      <rPr>
        <b/>
        <sz val="7.5"/>
        <color theme="1"/>
        <rFont val="Calibri Light"/>
        <family val="2"/>
      </rPr>
      <t>Nota:</t>
    </r>
    <r>
      <rPr>
        <sz val="7.5"/>
        <color theme="1"/>
        <rFont val="Calibri Light"/>
        <family val="2"/>
      </rPr>
      <t xml:space="preserve"> Quando houver a necessidade de reposição de um empregado durante sua ausência nos casos de intervalo para repouso ou alimentação deve-se contemplar o Submódulo 4.2.</t>
    </r>
  </si>
  <si>
    <r>
      <rPr>
        <b/>
        <sz val="7.5"/>
        <color theme="1"/>
        <rFont val="Calibri Light"/>
        <family val="2"/>
      </rPr>
      <t xml:space="preserve">Nota 1: </t>
    </r>
    <r>
      <rPr>
        <sz val="7.5"/>
        <color theme="1"/>
        <rFont val="Calibri Light"/>
        <family val="2"/>
      </rPr>
      <t>O valor informado deverá ser o custo real do benefício (descontado o valor eventualmente pago pelo empregado).</t>
    </r>
  </si>
  <si>
    <r>
      <rPr>
        <b/>
        <sz val="7.5"/>
        <color theme="1"/>
        <rFont val="Calibri Light"/>
        <family val="2"/>
      </rPr>
      <t>Nota 2:</t>
    </r>
    <r>
      <rPr>
        <sz val="7.5"/>
        <color theme="1"/>
        <rFont val="Calibri Light"/>
        <family val="2"/>
      </rPr>
      <t xml:space="preserve"> Observar a previsão dos benefícios contidos em Acordos, Convenções e Dissídios Coletivos de Trabalho e atentar-se ao disposto no art. 6º desta Instrução Normativa.</t>
    </r>
  </si>
  <si>
    <r>
      <rPr>
        <b/>
        <sz val="7.5"/>
        <color theme="1"/>
        <rFont val="Calibri Light"/>
        <family val="2"/>
      </rPr>
      <t xml:space="preserve">Nota: </t>
    </r>
    <r>
      <rPr>
        <sz val="7.5"/>
        <color theme="1"/>
        <rFont val="Calibri Light"/>
        <family val="2"/>
      </rPr>
      <t>As alíneas “A” a “F” referem-se somente ao custo que será pago ao repositor pelos dias trabalhados quando da necessidade de substituir a mão de obra alocada na prestação do serviço.</t>
    </r>
  </si>
  <si>
    <r>
      <rPr>
        <b/>
        <sz val="7.5"/>
        <color theme="1"/>
        <rFont val="Calibri Light"/>
        <family val="2"/>
      </rPr>
      <t xml:space="preserve">Nota: </t>
    </r>
    <r>
      <rPr>
        <sz val="7.5"/>
        <color theme="1"/>
        <rFont val="Calibri Light"/>
        <family val="2"/>
      </rPr>
      <t>Quando houver a necessidade de reposição de um empregado durante sua ausência nos casos de intervalo para repouso ou alimentação deve-se contemplar o Submódulo 4.2.</t>
    </r>
  </si>
  <si>
    <r>
      <rPr>
        <b/>
        <sz val="7.5"/>
        <color theme="1"/>
        <rFont val="Calibri Light"/>
        <family val="2"/>
      </rPr>
      <t>Nota 1:</t>
    </r>
    <r>
      <rPr>
        <sz val="7.5"/>
        <color theme="1"/>
        <rFont val="Calibri Light"/>
        <family val="2"/>
      </rPr>
      <t xml:space="preserve"> O </t>
    </r>
    <r>
      <rPr>
        <b/>
        <sz val="7.5"/>
        <color theme="1"/>
        <rFont val="Calibri Light"/>
        <family val="2"/>
      </rPr>
      <t>Módulo 1</t>
    </r>
    <r>
      <rPr>
        <sz val="7.5"/>
        <color theme="1"/>
        <rFont val="Calibri Light"/>
        <family val="2"/>
      </rPr>
      <t xml:space="preserve"> refere-se ao valor mensal devido ao empregado pela prestação do serviço no período de 12 meses. </t>
    </r>
  </si>
  <si>
    <r>
      <rPr>
        <b/>
        <sz val="10"/>
        <color theme="1"/>
        <rFont val="Calibri Light"/>
        <family val="2"/>
      </rPr>
      <t>Auxílio Transporte</t>
    </r>
    <r>
      <rPr>
        <b/>
        <sz val="8"/>
        <color theme="1"/>
        <rFont val="Calibri Light"/>
        <family val="2"/>
      </rPr>
      <t xml:space="preserve"> </t>
    </r>
    <r>
      <rPr>
        <sz val="8"/>
        <color theme="1"/>
        <rFont val="Calibri Light"/>
        <family val="2"/>
      </rPr>
      <t>((R$ 5,00+R$ 2,50)x2x21,5 dias) - 6% Salário Base  - Itinerário: Cidade Satélite/Estação Rodoviária P.P/Esplanada/Vice-versa - CLÁUSULA DÉCIMA QUARTA - VALE-TRANSPORTE CCT2018</t>
    </r>
  </si>
  <si>
    <r>
      <rPr>
        <b/>
        <sz val="10"/>
        <color theme="1"/>
        <rFont val="Calibri Light"/>
        <family val="2"/>
      </rPr>
      <t>Auxílio Refeição/Alimentação</t>
    </r>
    <r>
      <rPr>
        <sz val="10"/>
        <color theme="1"/>
        <rFont val="Calibri Light"/>
        <family val="2"/>
      </rPr>
      <t xml:space="preserve"> </t>
    </r>
    <r>
      <rPr>
        <sz val="8"/>
        <color theme="1"/>
        <rFont val="Calibri Light"/>
        <family val="2"/>
      </rPr>
      <t>(Tiquete refeição de R$31,50 x 21,5 dias efetivamente trabalhados) - CLÁUSULA DÉCIMA TERCEIRA - AUXÍLIO ALIMENTAÇÃO- AUXÍLIO ALIMENTAÇÃO CCT2018</t>
    </r>
  </si>
  <si>
    <r>
      <rPr>
        <b/>
        <sz val="10"/>
        <color theme="1"/>
        <rFont val="Calibri Light"/>
        <family val="2"/>
      </rPr>
      <t>Multa do FGTS e Contribuição Social sobre o Aviso Prévio Trabalhado</t>
    </r>
    <r>
      <rPr>
        <sz val="10"/>
        <color theme="1"/>
        <rFont val="Calibri Light"/>
        <family val="2"/>
      </rPr>
      <t xml:space="preserve"> </t>
    </r>
    <r>
      <rPr>
        <sz val="8"/>
        <color theme="1"/>
        <rFont val="Calibri Light"/>
        <family val="2"/>
      </rPr>
      <t>(50% x 1,944%)</t>
    </r>
  </si>
  <si>
    <r>
      <rPr>
        <b/>
        <sz val="10"/>
        <color theme="1"/>
        <rFont val="Calibri Light"/>
        <family val="2"/>
      </rPr>
      <t xml:space="preserve">Incidência dos encargos do Submódulo 2.2 </t>
    </r>
    <r>
      <rPr>
        <sz val="10"/>
        <color theme="1"/>
        <rFont val="Calibri Light"/>
        <family val="2"/>
      </rPr>
      <t>sobre o Aviso Prévio Trabalhado</t>
    </r>
    <r>
      <rPr>
        <sz val="8"/>
        <color theme="1"/>
        <rFont val="Calibri Light"/>
        <family val="2"/>
      </rPr>
      <t xml:space="preserve"> (36,8% x 1,94%)</t>
    </r>
  </si>
  <si>
    <r>
      <rPr>
        <b/>
        <sz val="10"/>
        <color theme="1"/>
        <rFont val="Calibri Light"/>
        <family val="2"/>
      </rPr>
      <t>Aviso Prévio Trabalhado</t>
    </r>
    <r>
      <rPr>
        <sz val="10"/>
        <color theme="1"/>
        <rFont val="Calibri Light"/>
        <family val="2"/>
      </rPr>
      <t xml:space="preserve"> </t>
    </r>
    <r>
      <rPr>
        <sz val="8"/>
        <color theme="1"/>
        <rFont val="Calibri Light"/>
        <family val="2"/>
      </rPr>
      <t>(redução de 7 dias/mes ou de 2 horas/dia, percentual relativo a contrato de 12 meses)   =   [(7/30)/12]*100=1,944%  (Ac.3006/2010-TCU; art.7º, XXI ,CF/88, 477, 487 e 491 CLT)</t>
    </r>
  </si>
  <si>
    <r>
      <rPr>
        <b/>
        <sz val="7.5"/>
        <color theme="1"/>
        <rFont val="Calibri Light"/>
        <family val="2"/>
      </rPr>
      <t xml:space="preserve">Nota: </t>
    </r>
    <r>
      <rPr>
        <sz val="7.5"/>
        <color theme="1"/>
        <rFont val="Calibri Light"/>
        <family val="2"/>
      </rPr>
      <t>Valores mensais por empregado</t>
    </r>
  </si>
  <si>
    <r>
      <rPr>
        <b/>
        <sz val="7.5"/>
        <color theme="1"/>
        <rFont val="Calibri Light"/>
        <family val="2"/>
      </rPr>
      <t>Nota 1:</t>
    </r>
    <r>
      <rPr>
        <sz val="7.5"/>
        <color theme="1"/>
        <rFont val="Calibri Light"/>
        <family val="2"/>
      </rPr>
      <t xml:space="preserve"> Custos Indiretos, Tributos e Lucro por empregado</t>
    </r>
  </si>
  <si>
    <r>
      <rPr>
        <b/>
        <sz val="7.5"/>
        <color theme="1"/>
        <rFont val="Calibri Light"/>
        <family val="2"/>
      </rPr>
      <t xml:space="preserve">Nota 2: </t>
    </r>
    <r>
      <rPr>
        <sz val="7.5"/>
        <color theme="1"/>
        <rFont val="Calibri Light"/>
        <family val="2"/>
      </rPr>
      <t>O valor referente a tributos é obtido aplicando-se o percentual sobre o valor do faturamento.</t>
    </r>
  </si>
  <si>
    <r>
      <rPr>
        <b/>
        <sz val="7.5"/>
        <color theme="1"/>
        <rFont val="Calibri Light"/>
        <family val="2"/>
      </rPr>
      <t xml:space="preserve">Nota: </t>
    </r>
    <r>
      <rPr>
        <sz val="7.5"/>
        <color theme="1"/>
        <rFont val="Calibri Light"/>
        <family val="2"/>
      </rPr>
      <t>Qdo houver a necessidade de reposição de um empregado durante sua ausência nos casos de intervalo para repouso ou alimentação deve-se contemplar o Submódulo 4.2.</t>
    </r>
  </si>
  <si>
    <r>
      <rPr>
        <b/>
        <sz val="7.5"/>
        <color theme="1"/>
        <rFont val="Calibri Light"/>
        <family val="2"/>
      </rPr>
      <t xml:space="preserve">Nota 1: </t>
    </r>
    <r>
      <rPr>
        <sz val="7.5"/>
        <color theme="1"/>
        <rFont val="Calibri Light"/>
        <family val="2"/>
      </rPr>
      <t>Custos Indiretos, Tributos e Lucro por empregado</t>
    </r>
  </si>
  <si>
    <r>
      <rPr>
        <b/>
        <sz val="7.5"/>
        <color theme="1"/>
        <rFont val="Calibri Light"/>
        <family val="2"/>
      </rPr>
      <t>Nota 2:</t>
    </r>
    <r>
      <rPr>
        <sz val="7.5"/>
        <color theme="1"/>
        <rFont val="Calibri Light"/>
        <family val="2"/>
      </rPr>
      <t xml:space="preserve"> O valor referente a tributos é obtido aplicando-se o percentual sobre o valor do faturamento.</t>
    </r>
  </si>
  <si>
    <t xml:space="preserve">MINISTÉRIO DE MINAS E ENERGIA                                                                                                                                                                                                                                                           Secretaria Executiva                                                                                                                                                                                                                                                                                                                                  Subsecretaria de Planejamento, Orçamento e Administração                                                                                                                                                                                                         Coordenação Geral de Recursos Logísticos                                                                                                                                                                                                                    Coordenação de Atividades Gerais </t>
  </si>
  <si>
    <r>
      <rPr>
        <b/>
        <sz val="10"/>
        <color theme="1"/>
        <rFont val="Calibri Light"/>
        <family val="2"/>
      </rPr>
      <t>Auxílio Transporte</t>
    </r>
    <r>
      <rPr>
        <sz val="8"/>
        <color theme="1"/>
        <rFont val="Calibri Light"/>
        <family val="2"/>
      </rPr>
      <t xml:space="preserve"> ((R$ 5,00+R$ 2,50)x2x21,5 dias) - 6% Salário Base  - Itinerário: Cidade Satélite/Estação Rodoviária P.P/Esplanada/Vice-versa - CLÁUSULA DÉCIMA QUARTA - VALE-TRANSPORTE CCT2018</t>
    </r>
  </si>
  <si>
    <r>
      <rPr>
        <b/>
        <sz val="10"/>
        <color theme="1"/>
        <rFont val="Calibri Light"/>
        <family val="2"/>
      </rPr>
      <t>Auxílio Refeição/Alimentação</t>
    </r>
    <r>
      <rPr>
        <sz val="8"/>
        <color theme="1"/>
        <rFont val="Calibri Light"/>
        <family val="2"/>
      </rPr>
      <t xml:space="preserve"> (Tiquete refeição de R$31,50 x 21,5 dias efetivamente trabalhados) - CLÁUSULA DÉCIMA TERCEIRA - AUXÍLIO ALIMENTAÇÃO- AUXÍLIO ALIMENTAÇÃO CCT2018</t>
    </r>
  </si>
  <si>
    <r>
      <rPr>
        <b/>
        <sz val="10"/>
        <color theme="1"/>
        <rFont val="Calibri Light"/>
        <family val="2"/>
      </rPr>
      <t>Aviso Prévio Trabalhado</t>
    </r>
    <r>
      <rPr>
        <b/>
        <sz val="8"/>
        <color theme="1"/>
        <rFont val="Calibri Light"/>
        <family val="2"/>
      </rPr>
      <t xml:space="preserve"> </t>
    </r>
    <r>
      <rPr>
        <sz val="8"/>
        <color theme="1"/>
        <rFont val="Calibri Light"/>
        <family val="2"/>
      </rPr>
      <t>(redução de 7 dias/mes ou de 2 horas/dia, percentual relativo a contrato de 12 meses)   =   [(7/30)/12]*100=1,944%  (Ac.3006/2010-TCU; art.7º, XXI ,CF/88, 477, 487 e 491 CLT)</t>
    </r>
  </si>
  <si>
    <r>
      <rPr>
        <b/>
        <sz val="10"/>
        <color theme="1"/>
        <rFont val="Calibri Light"/>
        <family val="2"/>
      </rPr>
      <t>Auxílio Transporte</t>
    </r>
    <r>
      <rPr>
        <b/>
        <sz val="8"/>
        <color theme="1"/>
        <rFont val="Calibri Light"/>
        <family val="2"/>
      </rPr>
      <t xml:space="preserve"> </t>
    </r>
    <r>
      <rPr>
        <sz val="8"/>
        <color theme="1"/>
        <rFont val="Calibri Light"/>
        <family val="2"/>
      </rPr>
      <t>((R$ 5,00+R$ 2,50)x2x15,5 dias) - 6% Salário Base  - Itinerário: Cidade Satélite/Estação Rodoviária P.P/Esplanada/Vice-versa - CLÁUSULA DÉCIMA QUARTA - VALE-TRANSPORTE CCT2018</t>
    </r>
  </si>
  <si>
    <r>
      <rPr>
        <b/>
        <sz val="10"/>
        <color theme="1"/>
        <rFont val="Calibri Light"/>
        <family val="2"/>
      </rPr>
      <t>Auxílio Refeição/Alimentação</t>
    </r>
    <r>
      <rPr>
        <sz val="8"/>
        <color theme="1"/>
        <rFont val="Calibri Light"/>
        <family val="2"/>
      </rPr>
      <t xml:space="preserve"> (Tiquete refeição de R$31,50 x 15,5 dias efetivamente trabalhados) - CLÁUSULA DÉCIMA TERCEIRA - AUXÍLIO ALIMENTAÇÃO- AUXÍLIO ALIMENTAÇÃO CCT2018</t>
    </r>
  </si>
  <si>
    <r>
      <rPr>
        <b/>
        <sz val="7"/>
        <color theme="1"/>
        <rFont val="Calibri Light"/>
        <family val="2"/>
      </rPr>
      <t xml:space="preserve">Nota 1: </t>
    </r>
    <r>
      <rPr>
        <sz val="7"/>
        <color theme="1"/>
        <rFont val="Calibri Light"/>
        <family val="2"/>
      </rPr>
      <t>Como a planilha de custos e formação de preços é calculada mensalmente, provisiona-se proporcionalmente 1/12 (um doze avos) dos valores referentes a gratificação natalina, férias e adicional de férias.</t>
    </r>
  </si>
  <si>
    <r>
      <rPr>
        <b/>
        <sz val="7"/>
        <color theme="1"/>
        <rFont val="Calibri Light"/>
        <family val="2"/>
      </rPr>
      <t xml:space="preserve">Nota 2: </t>
    </r>
    <r>
      <rPr>
        <sz val="7"/>
        <color theme="1"/>
        <rFont val="Calibri Light"/>
        <family val="2"/>
      </rPr>
      <t>O adicional de férias contido no Submódulo 2.1 corresponde a 1/3 (um terço) da remuneração que por sua vez é divido por 12 (doze) conforme Nota 1 acima</t>
    </r>
  </si>
  <si>
    <r>
      <rPr>
        <b/>
        <sz val="7"/>
        <color rgb="FF000000"/>
        <rFont val="Calibri Light"/>
        <family val="2"/>
      </rPr>
      <t xml:space="preserve">Nota 3: </t>
    </r>
    <r>
      <rPr>
        <sz val="7"/>
        <color rgb="FF000000"/>
        <rFont val="Calibri Light"/>
        <family val="2"/>
      </rPr>
      <t>Levando em consideração a vigência contratual prevista no art. 57 da Lei nº 8.666, de 23 de junho de 1993, a rubrica férias tem como objetivo principal suprir a necessidade do pagamento das férias remuneradas ao final do contrato de 12 meses. </t>
    </r>
    <r>
      <rPr>
        <b/>
        <sz val="7"/>
        <color rgb="FF000000"/>
        <rFont val="Calibri Light"/>
        <family val="2"/>
      </rPr>
      <t>Esta rubrica, quando da prorrogação contratual, torna-se custo não renovável.</t>
    </r>
  </si>
  <si>
    <r>
      <rPr>
        <b/>
        <sz val="10"/>
        <color theme="1"/>
        <rFont val="Calibri Light"/>
        <family val="2"/>
      </rPr>
      <t xml:space="preserve">Auxílio Transporte </t>
    </r>
    <r>
      <rPr>
        <sz val="8"/>
        <color theme="1"/>
        <rFont val="Calibri Light"/>
        <family val="2"/>
      </rPr>
      <t>((R$ 5,00+R$ 2,50)x2x15,5 dias) - 6% Salário Base  - Itinerário: Cidade Satélite/Estação Rodoviária P.P/Esplanada/Vice-versa - CLÁUSULA DÉCIMA QUARTA - VALE-TRANSPORTE CCT2018</t>
    </r>
  </si>
  <si>
    <r>
      <rPr>
        <b/>
        <sz val="10"/>
        <color theme="1"/>
        <rFont val="Calibri Light"/>
        <family val="2"/>
      </rPr>
      <t>Auxílio Refeição/Alimentação</t>
    </r>
    <r>
      <rPr>
        <b/>
        <sz val="9"/>
        <color theme="1"/>
        <rFont val="Calibri Light"/>
        <family val="2"/>
      </rPr>
      <t xml:space="preserve"> </t>
    </r>
    <r>
      <rPr>
        <b/>
        <sz val="8"/>
        <color theme="1"/>
        <rFont val="Calibri Light"/>
        <family val="2"/>
      </rPr>
      <t>(</t>
    </r>
    <r>
      <rPr>
        <sz val="8"/>
        <color theme="1"/>
        <rFont val="Calibri Light"/>
        <family val="2"/>
      </rPr>
      <t>Tiquete refeição de R$31,50 x 15,5 dias efetivamente trabalhados) - CLÁUSULA DÉCIMA TERCEIRA - AUXÍLIO ALIMENTAÇÃO- AUXÍLIO ALIMENTAÇÃO CCT2018</t>
    </r>
  </si>
  <si>
    <r>
      <rPr>
        <b/>
        <sz val="10"/>
        <color theme="1"/>
        <rFont val="Calibri Light"/>
        <family val="2"/>
      </rPr>
      <t xml:space="preserve">Multa do FGTS e Contribuição Social sobre o Aviso Prévio Indenizado </t>
    </r>
    <r>
      <rPr>
        <sz val="8"/>
        <color theme="1"/>
        <rFont val="Calibri Light"/>
        <family val="2"/>
      </rPr>
      <t xml:space="preserve"> (multa de 40% sobre FGTS + 10% Contribuição Social) x Aviso Prévio Indenizado (0,417%) =  (0,417%)*0,50  =  0,209%  (Art. 18, § 1º da Lei nº 8.036/90,Art. 1º da Lei Complementar nº 110/2001)</t>
    </r>
  </si>
  <si>
    <r>
      <rPr>
        <b/>
        <sz val="10"/>
        <color theme="1"/>
        <rFont val="Calibri Light"/>
        <family val="2"/>
      </rPr>
      <t xml:space="preserve">Incidência dos encargos do Submódulo 2.2 </t>
    </r>
    <r>
      <rPr>
        <sz val="10"/>
        <color theme="1"/>
        <rFont val="Calibri Light"/>
        <family val="2"/>
      </rPr>
      <t xml:space="preserve">sobre o Aviso Prévio Trabalhado </t>
    </r>
    <r>
      <rPr>
        <sz val="8"/>
        <color theme="1"/>
        <rFont val="Calibri Light"/>
        <family val="2"/>
      </rPr>
      <t>(36,8% x 1,94%)</t>
    </r>
  </si>
  <si>
    <r>
      <rPr>
        <b/>
        <sz val="10"/>
        <color theme="1"/>
        <rFont val="Calibri Light"/>
        <family val="2"/>
      </rPr>
      <t xml:space="preserve">Incidência dos encargos do Submódulo 2.2 </t>
    </r>
    <r>
      <rPr>
        <sz val="10"/>
        <color theme="1"/>
        <rFont val="Calibri Light"/>
        <family val="2"/>
      </rPr>
      <t xml:space="preserve">sobre o Aviso Prévio Trabalhado </t>
    </r>
    <r>
      <rPr>
        <sz val="9"/>
        <color theme="1"/>
        <rFont val="Calibri Light"/>
        <family val="2"/>
      </rPr>
      <t>(36,8% x 1,94%)</t>
    </r>
  </si>
  <si>
    <r>
      <rPr>
        <b/>
        <sz val="10"/>
        <color theme="1"/>
        <rFont val="Calibri Light"/>
        <family val="2"/>
      </rPr>
      <t>Multa do FGTS e Contribuição Social sobre o Aviso Prévio Trabalhado</t>
    </r>
    <r>
      <rPr>
        <sz val="10"/>
        <color theme="1"/>
        <rFont val="Calibri Light"/>
        <family val="2"/>
      </rPr>
      <t xml:space="preserve"> </t>
    </r>
    <r>
      <rPr>
        <sz val="9"/>
        <color theme="1"/>
        <rFont val="Calibri Light"/>
        <family val="2"/>
      </rPr>
      <t>(50% x 1,944%)</t>
    </r>
  </si>
  <si>
    <r>
      <rPr>
        <b/>
        <sz val="10"/>
        <color theme="1"/>
        <rFont val="Calibri Light"/>
        <family val="2"/>
      </rPr>
      <t>Aviso Prévio Trabalhado</t>
    </r>
    <r>
      <rPr>
        <sz val="8"/>
        <color theme="1"/>
        <rFont val="Calibri Light"/>
        <family val="2"/>
      </rPr>
      <t xml:space="preserve"> (redução de 7 dias/mes ou de 2 horas/dia, percentual relativo a contrato de 12 meses)   =   [(7/30)/12]*100=1,944%  (Ac.3006/2010-TCU; art.7º, XXI ,CF/88, 477, 487 e 491 CLT)</t>
    </r>
  </si>
  <si>
    <r>
      <rPr>
        <b/>
        <sz val="10"/>
        <color theme="1"/>
        <rFont val="Calibri Light"/>
        <family val="2"/>
      </rPr>
      <t xml:space="preserve">Multa do FGTS e Contribuição Social sobre o Aviso Prévio Indenizado </t>
    </r>
    <r>
      <rPr>
        <sz val="10"/>
        <color theme="1"/>
        <rFont val="Calibri Light"/>
        <family val="2"/>
      </rPr>
      <t xml:space="preserve"> </t>
    </r>
    <r>
      <rPr>
        <sz val="7"/>
        <color theme="1"/>
        <rFont val="Calibri Light"/>
        <family val="2"/>
      </rPr>
      <t>(multa de 40% sobre FGTS + 10% Contribuição Social) x Aviso Prévio Indenizado (0,417%) =  (0,417%)*0,50  =  0,209%  (Art. 18, § 1º da Lei nº 8.036/90,Art. 1º da Lei Complementar nº 110/2001)</t>
    </r>
  </si>
  <si>
    <r>
      <rPr>
        <b/>
        <sz val="10"/>
        <color theme="1"/>
        <rFont val="Calibri Light"/>
        <family val="2"/>
      </rPr>
      <t>Aviso Prévio Trabalhado</t>
    </r>
    <r>
      <rPr>
        <sz val="10"/>
        <color theme="1"/>
        <rFont val="Calibri Light"/>
        <family val="2"/>
      </rPr>
      <t xml:space="preserve"> </t>
    </r>
    <r>
      <rPr>
        <sz val="7"/>
        <color theme="1"/>
        <rFont val="Calibri Light"/>
        <family val="2"/>
      </rPr>
      <t xml:space="preserve"> (redução de 7 dias/mes ou de 2 horas/dia, percentual relativo a contrato de 12 meses)   =   [(7/30)/12]*100=1,944%  (Ac.3006/2010-TCU; art.7º, XXI ,CF/88, 477, 487 e 491 CLT)</t>
    </r>
  </si>
  <si>
    <r>
      <rPr>
        <b/>
        <sz val="10"/>
        <color theme="1"/>
        <rFont val="Calibri Light"/>
        <family val="2"/>
      </rPr>
      <t>Incidência dos encargos do Submódulo 2.2</t>
    </r>
    <r>
      <rPr>
        <sz val="10"/>
        <color theme="1"/>
        <rFont val="Calibri Light"/>
        <family val="2"/>
      </rPr>
      <t xml:space="preserve"> sobre o Aviso Prévio Trabalhado </t>
    </r>
    <r>
      <rPr>
        <sz val="8"/>
        <color theme="1"/>
        <rFont val="Calibri Light"/>
        <family val="2"/>
      </rPr>
      <t>(36,8%x1,94%)</t>
    </r>
  </si>
  <si>
    <r>
      <rPr>
        <b/>
        <sz val="10"/>
        <color theme="1"/>
        <rFont val="Calibri Light"/>
        <family val="2"/>
      </rPr>
      <t xml:space="preserve">Multa do FGTS e Contribuição Social sobre o Aviso Prévio Indenizado  </t>
    </r>
    <r>
      <rPr>
        <sz val="7"/>
        <color theme="1"/>
        <rFont val="Calibri Light"/>
        <family val="2"/>
      </rPr>
      <t>(multa de 40% sobre FGTS + 10% Contribuição Social) x Aviso Prévio Indenizado (0,417%) =  (0,417%)*0,50  =  0,209%  (Art. 18, § 1º da Lei nº 8.036/90,Art. 1º da Lei Complementar nº 110/2001)</t>
    </r>
  </si>
  <si>
    <r>
      <rPr>
        <b/>
        <sz val="10"/>
        <color theme="1"/>
        <rFont val="Calibri Light"/>
        <family val="2"/>
      </rPr>
      <t>Aviso Prévio Trabalhado</t>
    </r>
    <r>
      <rPr>
        <sz val="8"/>
        <color theme="1"/>
        <rFont val="Calibri Light"/>
        <family val="2"/>
      </rPr>
      <t xml:space="preserve"> </t>
    </r>
    <r>
      <rPr>
        <sz val="7"/>
        <color theme="1"/>
        <rFont val="Calibri Light"/>
        <family val="2"/>
      </rPr>
      <t xml:space="preserve"> (redução de 7 dias/mes ou de 2 horas/dia, percentual relativo a contrato de 12 meses)   =   [(7/30)/12]*100=1,944%  (Ac.3006/2010-TCU; art.7º, XXI ,CF/88, 477, 487 e 491 CLT)</t>
    </r>
  </si>
  <si>
    <r>
      <rPr>
        <b/>
        <sz val="10"/>
        <color theme="1"/>
        <rFont val="Calibri Light"/>
        <family val="2"/>
      </rPr>
      <t>Incidência dos encargos do Submódulo 2.2</t>
    </r>
    <r>
      <rPr>
        <sz val="10"/>
        <color theme="1"/>
        <rFont val="Calibri Light"/>
        <family val="2"/>
      </rPr>
      <t xml:space="preserve"> sobre o Aviso Prévio Trabalhado</t>
    </r>
    <r>
      <rPr>
        <sz val="8"/>
        <color theme="1"/>
        <rFont val="Calibri Light"/>
        <family val="2"/>
      </rPr>
      <t xml:space="preserve"> </t>
    </r>
    <r>
      <rPr>
        <sz val="7.5"/>
        <color theme="1"/>
        <rFont val="Calibri Light"/>
        <family val="2"/>
      </rPr>
      <t>(36,8%x1,94%)</t>
    </r>
  </si>
  <si>
    <r>
      <rPr>
        <b/>
        <sz val="10"/>
        <color theme="1"/>
        <rFont val="Calibri Light"/>
        <family val="2"/>
      </rPr>
      <t>Aviso Prévio Trabalhado</t>
    </r>
    <r>
      <rPr>
        <sz val="7"/>
        <color theme="1"/>
        <rFont val="Calibri Light"/>
        <family val="2"/>
      </rPr>
      <t xml:space="preserve">  (redução de 7 dias/mes ou de 2 horas/dia, percentual relativo a contrato de 12 meses)   =   [(7/30)/12]*100=1,944%  (Ac.3006/2010-TCU; art.7º, XXI ,CF/88, 477, 487 e 491 CLT)</t>
    </r>
  </si>
  <si>
    <r>
      <rPr>
        <b/>
        <sz val="10"/>
        <color theme="1"/>
        <rFont val="Calibri Light"/>
        <family val="2"/>
      </rPr>
      <t xml:space="preserve">Multa do FGTS e Contribuição Social sobre o Aviso Prévio Indenizado </t>
    </r>
    <r>
      <rPr>
        <sz val="7"/>
        <color theme="1"/>
        <rFont val="Calibri Light"/>
        <family val="2"/>
      </rPr>
      <t>(multa de 40% sobre FGTS + 10% Contribuição Social) x Aviso Prévio Indenizado (0,417%) =  (0,417%)*0,50  =  0,209%  (Art. 18, § 1º da Lei nº 8.036/90,Art. 1º da Lei Complementar nº 110/2001)</t>
    </r>
  </si>
  <si>
    <t xml:space="preserve">MINISTÉRIO DE MINAS E ENERGIA                                                                                                                                                                                                                                                                        Secretaria Executiva                                                                                                                                                                                                                                            Subsecretaria de Planejamento, Orçamento e Administração                                                                                                                                                                                                         Coordenação Geral de Recursos Logísticos                                                                                                                                                                                                                    Coordenação de Atividades Gerais </t>
  </si>
  <si>
    <r>
      <rPr>
        <b/>
        <sz val="7"/>
        <color theme="1"/>
        <rFont val="Calibri Light"/>
        <family val="2"/>
      </rPr>
      <t>Nota 1:</t>
    </r>
    <r>
      <rPr>
        <sz val="7"/>
        <color theme="1"/>
        <rFont val="Calibri Light"/>
        <family val="2"/>
      </rPr>
      <t xml:space="preserve"> Os percentuais dos encargos previdenciários, do FGTS e demais contribuições são aqueles estabelecidos pela legislação vigente.</t>
    </r>
  </si>
  <si>
    <r>
      <rPr>
        <b/>
        <sz val="7"/>
        <color theme="1"/>
        <rFont val="Calibri Light"/>
        <family val="2"/>
      </rPr>
      <t xml:space="preserve">Nota 2: </t>
    </r>
    <r>
      <rPr>
        <sz val="7"/>
        <color theme="1"/>
        <rFont val="Calibri Light"/>
        <family val="2"/>
      </rPr>
      <t>O</t>
    </r>
    <r>
      <rPr>
        <b/>
        <sz val="7"/>
        <color theme="1"/>
        <rFont val="Calibri Light"/>
        <family val="2"/>
      </rPr>
      <t xml:space="preserve"> SAT</t>
    </r>
    <r>
      <rPr>
        <sz val="7"/>
        <color theme="1"/>
        <rFont val="Calibri Light"/>
        <family val="2"/>
      </rPr>
      <t xml:space="preserve"> a depender do grau de risco do serviço irá </t>
    </r>
    <r>
      <rPr>
        <b/>
        <sz val="7"/>
        <color theme="1"/>
        <rFont val="Calibri Light"/>
        <family val="2"/>
      </rPr>
      <t>variar entre 1%, para risco leve, de 2%, para risco médio, e de 3% de risco grave.</t>
    </r>
  </si>
  <si>
    <r>
      <rPr>
        <b/>
        <sz val="10"/>
        <color theme="1"/>
        <rFont val="Calibri Light"/>
        <family val="2"/>
      </rPr>
      <t xml:space="preserve">Auxílio Transporte </t>
    </r>
    <r>
      <rPr>
        <sz val="8"/>
        <color theme="1"/>
        <rFont val="Calibri Light"/>
        <family val="2"/>
      </rPr>
      <t>((R$ 5,00+R$ 2,50)x2x21,5 dias) x 25% - 6% Salário Base  - Itinerário: Cidade Satélite/Estação Rodoviária P.P/Esplanada/Vice-versa - CLÁUSULA DÉCIMA QUINTA - VALE-TRANSPORTE CCT2018</t>
    </r>
  </si>
  <si>
    <r>
      <rPr>
        <b/>
        <sz val="10"/>
        <color theme="1"/>
        <rFont val="Calibri Light"/>
        <family val="2"/>
      </rPr>
      <t>Auxílio Refeição/Alimentação</t>
    </r>
    <r>
      <rPr>
        <sz val="10"/>
        <color theme="1"/>
        <rFont val="Calibri Light"/>
        <family val="2"/>
      </rPr>
      <t xml:space="preserve"> </t>
    </r>
    <r>
      <rPr>
        <sz val="8"/>
        <color theme="1"/>
        <rFont val="Calibri Light"/>
        <family val="2"/>
      </rPr>
      <t>(Tiquete refeição de R$31,50 x 21,5 dias x 25%) - CLÁUSULA DÉCIMA QUARTA - AUXÍLIO ALIMENTAÇÃO- AUXÍLIO ALIMENTAÇÃO CCT2018</t>
    </r>
  </si>
  <si>
    <r>
      <t xml:space="preserve">Nota 1: </t>
    </r>
    <r>
      <rPr>
        <sz val="7"/>
        <color theme="1"/>
        <rFont val="Calibri Light"/>
        <family val="2"/>
      </rPr>
      <t>Os itens que contemplam o</t>
    </r>
    <r>
      <rPr>
        <b/>
        <sz val="7"/>
        <color theme="1"/>
        <rFont val="Calibri Light"/>
        <family val="2"/>
      </rPr>
      <t xml:space="preserve"> módulo 4 se referem ao custo dos dias trabalhados pelo repositor/substituto, quando </t>
    </r>
    <r>
      <rPr>
        <sz val="7"/>
        <color theme="1"/>
        <rFont val="Calibri Light"/>
        <family val="2"/>
      </rPr>
      <t>o empregado</t>
    </r>
    <r>
      <rPr>
        <b/>
        <sz val="7"/>
        <color theme="1"/>
        <rFont val="Calibri Light"/>
        <family val="2"/>
      </rPr>
      <t xml:space="preserve"> alocado na prestação de serviço estiver ausente, </t>
    </r>
    <r>
      <rPr>
        <sz val="7"/>
        <color theme="1"/>
        <rFont val="Calibri Light"/>
        <family val="2"/>
      </rPr>
      <t>conforme as previsões estabelecidas na legislação.</t>
    </r>
  </si>
  <si>
    <r>
      <rPr>
        <b/>
        <sz val="10"/>
        <color theme="1"/>
        <rFont val="Calibri Light"/>
        <family val="2"/>
      </rPr>
      <t>Multa do FGTS e Contribuição Social sobre o Aviso Prévio Indenizado]</t>
    </r>
    <r>
      <rPr>
        <sz val="10"/>
        <color theme="1"/>
        <rFont val="Calibri Light"/>
        <family val="2"/>
      </rPr>
      <t xml:space="preserve"> </t>
    </r>
    <r>
      <rPr>
        <sz val="8"/>
        <color theme="1"/>
        <rFont val="Calibri Light"/>
        <family val="2"/>
      </rPr>
      <t>(multa de 40% sobre FGTS + 10% Contribuição Social) x Aviso Prévio Indenizado (0,417%) =  (0,417%)*0,50  =  0,209%  (Art. 18, § 1º da Lei nº 8.036/90,Art. 1º da Lei Complementar nº 110/2001)</t>
    </r>
  </si>
  <si>
    <r>
      <rPr>
        <b/>
        <sz val="7"/>
        <color theme="1"/>
        <rFont val="Calibri Light"/>
        <family val="2"/>
      </rPr>
      <t>Nota:</t>
    </r>
    <r>
      <rPr>
        <sz val="7"/>
        <color theme="1"/>
        <rFont val="Calibri Light"/>
        <family val="2"/>
      </rPr>
      <t xml:space="preserve"> As alíneas “A” a “F” referem-se somente ao custo que será pago ao repositor pelos dias trabalhados quando da necessidade de substituir a mão de obra alocada na prestação do serviço.</t>
    </r>
  </si>
  <si>
    <r>
      <rPr>
        <b/>
        <sz val="7"/>
        <color theme="1"/>
        <rFont val="Calibri Light"/>
        <family val="2"/>
      </rPr>
      <t>Nota:</t>
    </r>
    <r>
      <rPr>
        <sz val="7"/>
        <color theme="1"/>
        <rFont val="Calibri Light"/>
        <family val="2"/>
      </rPr>
      <t xml:space="preserve"> Quando houver a necessidade de reposição de um empregado durante sua ausência nos casos de intervalo para repouso ou alimentação deve-se contemplar o Submódulo 4.2.</t>
    </r>
  </si>
  <si>
    <t xml:space="preserve">MINISTÉRIO DE MINAS E ENERGIA                                                                                                                                                                                                                                                      Secretaria Executiva                                                                                                                                                                                                                                            Subsecretaria de Planejamento, Orçamento e Administração                                                                                                                                                                                                         Coordenação Geral de Recursos Logísticos                                                                                                                                                                                                                    Coordenação de Atividades Gerais </t>
  </si>
  <si>
    <r>
      <rPr>
        <b/>
        <sz val="7"/>
        <color theme="1"/>
        <rFont val="Calibri Light"/>
        <family val="2"/>
      </rPr>
      <t>Nota 1:</t>
    </r>
    <r>
      <rPr>
        <sz val="7"/>
        <color theme="1"/>
        <rFont val="Calibri Light"/>
        <family val="2"/>
      </rPr>
      <t xml:space="preserve"> Esta tabela poderá ser adaptada às características do serviço contratado, inclusive no que concerne às rubricas e suas respectivas provisões e/ou estimativas, desde que haja justificativa.</t>
    </r>
  </si>
  <si>
    <r>
      <rPr>
        <b/>
        <sz val="7"/>
        <color theme="1"/>
        <rFont val="Calibri Light"/>
        <family val="2"/>
      </rPr>
      <t>Nota 2:</t>
    </r>
    <r>
      <rPr>
        <sz val="7"/>
        <color theme="1"/>
        <rFont val="Calibri Light"/>
        <family val="2"/>
      </rPr>
      <t xml:space="preserve"> As provisões constantes desta planilha poderão ser desnecessárias quando se tratar de determinados serviços que prescindam da dedicação exclusiva dos trabalhadores da contratada para com a Administração.</t>
    </r>
  </si>
  <si>
    <r>
      <rPr>
        <b/>
        <sz val="7"/>
        <color theme="1"/>
        <rFont val="Calibri Light"/>
        <family val="2"/>
      </rPr>
      <t>Nota 1:</t>
    </r>
    <r>
      <rPr>
        <sz val="7"/>
        <color theme="1"/>
        <rFont val="Calibri Light"/>
        <family val="2"/>
      </rPr>
      <t xml:space="preserve"> O valor informado deverá ser o custo real do benefício (descontado o valor eventualmente pago pelo empregado).</t>
    </r>
  </si>
  <si>
    <r>
      <rPr>
        <b/>
        <sz val="7"/>
        <color theme="1"/>
        <rFont val="Calibri Light"/>
        <family val="2"/>
      </rPr>
      <t>Nota 2:</t>
    </r>
    <r>
      <rPr>
        <sz val="7"/>
        <color theme="1"/>
        <rFont val="Calibri Light"/>
        <family val="2"/>
      </rPr>
      <t xml:space="preserve"> Observar a previsão dos benefícios contidos em Acordos, Convenções e Dissídios Coletivos de Trabalho e atentar-se ao disposto no art. 6º desta Instrução Normativa.</t>
    </r>
  </si>
  <si>
    <r>
      <rPr>
        <b/>
        <sz val="7"/>
        <color theme="1"/>
        <rFont val="Calibri Light"/>
        <family val="2"/>
      </rPr>
      <t xml:space="preserve">Nota: </t>
    </r>
    <r>
      <rPr>
        <sz val="7"/>
        <color theme="1"/>
        <rFont val="Calibri Light"/>
        <family val="2"/>
      </rPr>
      <t>Quando houver a necessidade de reposição de um empregado durante sua ausência nos casos de intervalo para repouso ou alimentação deve-se contemplar o Submódulo 4.2.</t>
    </r>
  </si>
  <si>
    <r>
      <rPr>
        <b/>
        <sz val="10"/>
        <color theme="1"/>
        <rFont val="Calibri Light"/>
        <family val="2"/>
      </rPr>
      <t>Aviso Prévio Trabalhado</t>
    </r>
    <r>
      <rPr>
        <sz val="10"/>
        <color theme="1"/>
        <rFont val="Calibri Light"/>
        <family val="2"/>
      </rPr>
      <t xml:space="preserve"> </t>
    </r>
    <r>
      <rPr>
        <sz val="9"/>
        <color theme="1"/>
        <rFont val="Calibri Light"/>
        <family val="2"/>
      </rPr>
      <t xml:space="preserve"> </t>
    </r>
    <r>
      <rPr>
        <sz val="7"/>
        <color theme="1"/>
        <rFont val="Calibri Light"/>
        <family val="2"/>
      </rPr>
      <t xml:space="preserve"> (redução de 7 dias/mes ou de 2 horas/dia, percentual relativo a contrato de 12 meses)   =   [(7/30)/12]*100=1,944%  (Ac.3006/2010-TCU; art.7º, XXI ,CF/88, 477, 487 e 491 CLT)</t>
    </r>
  </si>
  <si>
    <r>
      <rPr>
        <b/>
        <sz val="7"/>
        <color theme="1"/>
        <rFont val="Calibri Light"/>
        <family val="2"/>
      </rPr>
      <t xml:space="preserve">Nota: </t>
    </r>
    <r>
      <rPr>
        <sz val="7"/>
        <color theme="1"/>
        <rFont val="Calibri Light"/>
        <family val="2"/>
      </rPr>
      <t>As alíneas “A” a “F” referem-se somente ao custo que será pago ao repositor pelos dias trabalhados quando da necessidade de substituir a mão de obra alocada na prestação do serviço.</t>
    </r>
  </si>
  <si>
    <r>
      <rPr>
        <b/>
        <sz val="7"/>
        <color theme="1"/>
        <rFont val="Calibri Light"/>
        <family val="2"/>
      </rPr>
      <t xml:space="preserve">Nota: </t>
    </r>
    <r>
      <rPr>
        <sz val="7"/>
        <color theme="1"/>
        <rFont val="Calibri Light"/>
        <family val="2"/>
      </rPr>
      <t>Qdo houver a necessidade de reposição de um empregado durante sua ausência nos casos de intervalo para repouso ou alimentação deve-se contemplar o Submódulo 4.2.</t>
    </r>
  </si>
  <si>
    <r>
      <rPr>
        <b/>
        <sz val="7"/>
        <color theme="1"/>
        <rFont val="Calibri"/>
        <family val="2"/>
        <scheme val="minor"/>
      </rPr>
      <t>Nota 2:</t>
    </r>
    <r>
      <rPr>
        <sz val="7"/>
        <color theme="1"/>
        <rFont val="Calibri"/>
        <family val="2"/>
        <scheme val="minor"/>
      </rPr>
      <t xml:space="preserve"> As provisões constantes desta planilha poderão ser desnecessárias quando se tratar de determinados serviços que prescindam da dedicação exclusiva dos trabalhadores da contratada para com a Administração.</t>
    </r>
  </si>
  <si>
    <r>
      <rPr>
        <b/>
        <sz val="7"/>
        <color theme="1"/>
        <rFont val="Calibri"/>
        <family val="2"/>
        <scheme val="minor"/>
      </rPr>
      <t>Nota 1:</t>
    </r>
    <r>
      <rPr>
        <sz val="7"/>
        <color theme="1"/>
        <rFont val="Calibri"/>
        <family val="2"/>
        <scheme val="minor"/>
      </rPr>
      <t xml:space="preserve"> O </t>
    </r>
    <r>
      <rPr>
        <b/>
        <sz val="7"/>
        <color theme="1"/>
        <rFont val="Calibri"/>
        <family val="2"/>
        <scheme val="minor"/>
      </rPr>
      <t>Módulo 1</t>
    </r>
    <r>
      <rPr>
        <sz val="7"/>
        <color theme="1"/>
        <rFont val="Calibri"/>
        <family val="2"/>
        <scheme val="minor"/>
      </rPr>
      <t xml:space="preserve"> refere-se ao valor mensal devido ao empregado pela prestação do serviço no período de 12 meses. </t>
    </r>
  </si>
  <si>
    <r>
      <rPr>
        <b/>
        <sz val="7"/>
        <color theme="1"/>
        <rFont val="Calibri"/>
        <family val="2"/>
        <scheme val="minor"/>
      </rPr>
      <t xml:space="preserve">Nota 1: </t>
    </r>
    <r>
      <rPr>
        <sz val="7"/>
        <color theme="1"/>
        <rFont val="Calibri"/>
        <family val="2"/>
        <scheme val="minor"/>
      </rPr>
      <t>Como a planilha de custos e formação de preços é calculada mensalmente, provisiona-se proporcionalmente 1/12 (um doze avos) dos valores referentes a gratificação natalina, férias e adicional de férias.</t>
    </r>
  </si>
  <si>
    <r>
      <rPr>
        <b/>
        <sz val="7"/>
        <color theme="1"/>
        <rFont val="Calibri"/>
        <family val="2"/>
        <scheme val="minor"/>
      </rPr>
      <t xml:space="preserve">Nota 2: </t>
    </r>
    <r>
      <rPr>
        <sz val="7"/>
        <color theme="1"/>
        <rFont val="Calibri"/>
        <family val="2"/>
        <scheme val="minor"/>
      </rPr>
      <t>O adicional de férias contido no Submódulo 2.1 corresponde a 1/3 (um terço) da remuneração que por sua vez é divido por 12 (doze) conforme Nota 1 acima</t>
    </r>
  </si>
  <si>
    <r>
      <rPr>
        <b/>
        <sz val="7"/>
        <color rgb="FF000000"/>
        <rFont val="Calibri"/>
        <family val="2"/>
        <scheme val="minor"/>
      </rPr>
      <t xml:space="preserve">Nota 3: </t>
    </r>
    <r>
      <rPr>
        <sz val="7"/>
        <color rgb="FF000000"/>
        <rFont val="Calibri"/>
        <family val="2"/>
        <scheme val="minor"/>
      </rPr>
      <t>Levando em consideração a vigência contratual prevista no art. 57 da Lei nº 8.666, de 23 de junho de 1993, a rubrica férias tem como objetivo principal suprir a necessidade do pagamento das férias remuneradas ao final do contrato de 12 meses. </t>
    </r>
    <r>
      <rPr>
        <b/>
        <sz val="7"/>
        <color rgb="FF000000"/>
        <rFont val="Calibri"/>
        <family val="2"/>
        <scheme val="minor"/>
      </rPr>
      <t>Esta rubrica, quando da prorrogação contratual, torna-se custo não renovável.</t>
    </r>
  </si>
  <si>
    <r>
      <rPr>
        <b/>
        <sz val="7"/>
        <color theme="1"/>
        <rFont val="Calibri"/>
        <family val="2"/>
        <scheme val="minor"/>
      </rPr>
      <t>Nota 1:</t>
    </r>
    <r>
      <rPr>
        <sz val="7"/>
        <color theme="1"/>
        <rFont val="Calibri"/>
        <family val="2"/>
        <scheme val="minor"/>
      </rPr>
      <t xml:space="preserve"> Os percentuais dos encargos previdenciários, do FGTS e demais contribuições são aqueles estabelecidos pela legislação vigente.</t>
    </r>
  </si>
  <si>
    <r>
      <rPr>
        <b/>
        <sz val="7"/>
        <color theme="1"/>
        <rFont val="Calibri"/>
        <family val="2"/>
        <scheme val="minor"/>
      </rPr>
      <t xml:space="preserve">Nota 2: </t>
    </r>
    <r>
      <rPr>
        <sz val="7"/>
        <color theme="1"/>
        <rFont val="Calibri"/>
        <family val="2"/>
        <scheme val="minor"/>
      </rPr>
      <t>O</t>
    </r>
    <r>
      <rPr>
        <b/>
        <sz val="7"/>
        <color theme="1"/>
        <rFont val="Calibri"/>
        <family val="2"/>
        <scheme val="minor"/>
      </rPr>
      <t xml:space="preserve"> SAT</t>
    </r>
    <r>
      <rPr>
        <sz val="7"/>
        <color theme="1"/>
        <rFont val="Calibri"/>
        <family val="2"/>
        <scheme val="minor"/>
      </rPr>
      <t xml:space="preserve"> a depender do grau de risco do serviço irá </t>
    </r>
    <r>
      <rPr>
        <b/>
        <sz val="7"/>
        <color theme="1"/>
        <rFont val="Calibri"/>
        <family val="2"/>
        <scheme val="minor"/>
      </rPr>
      <t>variar entre 1%, para risco leve, de 2%, para risco médio, e de 3% de risco grave.</t>
    </r>
  </si>
  <si>
    <r>
      <rPr>
        <b/>
        <sz val="10"/>
        <color theme="1"/>
        <rFont val="Calibri"/>
        <family val="2"/>
        <scheme val="minor"/>
      </rPr>
      <t xml:space="preserve">Auxílio Transporte </t>
    </r>
    <r>
      <rPr>
        <b/>
        <sz val="8"/>
        <color theme="1"/>
        <rFont val="Calibri"/>
        <family val="2"/>
        <scheme val="minor"/>
      </rPr>
      <t xml:space="preserve"> </t>
    </r>
    <r>
      <rPr>
        <sz val="8"/>
        <color theme="1"/>
        <rFont val="Calibri"/>
        <family val="2"/>
        <scheme val="minor"/>
      </rPr>
      <t>((R$ 5,00+R$ 2,50)x2x21,5 dias) - 6% Salário Base  - Itinerário: Cidade Satélite/Estação Rodoviária P.P/Esplanada/Vice-versa - CLÁUSULA DÉCIMA PRIMEIRA  - VALE TRANSPORTE CCT2018</t>
    </r>
  </si>
  <si>
    <r>
      <rPr>
        <b/>
        <sz val="10"/>
        <color theme="1"/>
        <rFont val="Calibri"/>
        <family val="2"/>
        <scheme val="minor"/>
      </rPr>
      <t>Auxílio Refeição/Alimentação</t>
    </r>
    <r>
      <rPr>
        <b/>
        <sz val="8"/>
        <color theme="1"/>
        <rFont val="Calibri"/>
        <family val="2"/>
        <scheme val="minor"/>
      </rPr>
      <t xml:space="preserve"> </t>
    </r>
    <r>
      <rPr>
        <sz val="8"/>
        <color theme="1"/>
        <rFont val="Calibri"/>
        <family val="2"/>
        <scheme val="minor"/>
      </rPr>
      <t>(Tiquete refeição de R$18,0 x 21,5 dias efetivamente trabalhados) - CLÁUSULA DÉCIMA - AUX ALIMENTAÇÃO CCT2018</t>
    </r>
  </si>
  <si>
    <r>
      <rPr>
        <b/>
        <sz val="7"/>
        <color theme="1"/>
        <rFont val="Calibri"/>
        <family val="2"/>
        <scheme val="minor"/>
      </rPr>
      <t>Nota 1:</t>
    </r>
    <r>
      <rPr>
        <sz val="7"/>
        <color theme="1"/>
        <rFont val="Calibri"/>
        <family val="2"/>
        <scheme val="minor"/>
      </rPr>
      <t xml:space="preserve"> O valor informado deverá ser o custo real do benefício (descontado o valor eventualmente pago pelo empregado).</t>
    </r>
  </si>
  <si>
    <r>
      <rPr>
        <b/>
        <sz val="7"/>
        <color theme="1"/>
        <rFont val="Calibri"/>
        <family val="2"/>
        <scheme val="minor"/>
      </rPr>
      <t xml:space="preserve">Nota 2: </t>
    </r>
    <r>
      <rPr>
        <sz val="7"/>
        <color theme="1"/>
        <rFont val="Calibri"/>
        <family val="2"/>
        <scheme val="minor"/>
      </rPr>
      <t>Observar a previsão dos benefícios contidos em Acordos, Convenções e Dissídios Coletivos de Trabalho e atentar-se ao disposto no art. 6º desta Instrução Normativa.</t>
    </r>
  </si>
  <si>
    <r>
      <rPr>
        <b/>
        <sz val="10"/>
        <color theme="1"/>
        <rFont val="Calibri"/>
        <family val="2"/>
        <scheme val="minor"/>
      </rPr>
      <t>Aviso Prévio Indenizado</t>
    </r>
    <r>
      <rPr>
        <sz val="10"/>
        <color theme="1"/>
        <rFont val="Calibri"/>
        <family val="2"/>
        <scheme val="minor"/>
      </rPr>
      <t xml:space="preserve"> </t>
    </r>
    <r>
      <rPr>
        <sz val="8"/>
        <color theme="1"/>
        <rFont val="Calibri"/>
        <family val="2"/>
        <scheme val="minor"/>
      </rPr>
      <t>(Estimativa: 5% dos empregados serão substituídos durante um ano)  - [(5%)/12] = 0,417%   art. 487 CLT - Sumula 305/TST, Ac.2.271/2010-TCU,  Lei nº 12506/2011.</t>
    </r>
  </si>
  <si>
    <r>
      <rPr>
        <b/>
        <sz val="10"/>
        <color theme="1"/>
        <rFont val="Calibri"/>
        <family val="2"/>
        <scheme val="minor"/>
      </rPr>
      <t xml:space="preserve">Multa do FGTS e Contribuição Social sobre o Aviso Prévio Indenizado </t>
    </r>
    <r>
      <rPr>
        <sz val="10"/>
        <color theme="1"/>
        <rFont val="Calibri"/>
        <family val="2"/>
        <scheme val="minor"/>
      </rPr>
      <t xml:space="preserve"> </t>
    </r>
    <r>
      <rPr>
        <sz val="8"/>
        <color theme="1"/>
        <rFont val="Calibri"/>
        <family val="2"/>
        <scheme val="minor"/>
      </rPr>
      <t xml:space="preserve"> (multa de 40% sobre FGTS + 10% Contribuição Social) x Aviso Prévio Indenizado (0,417%) =  (0,417%)*0,50  =  0,209%  (Art. 18, § 1º da Lei nº 8.036/90,Art. 1º da Lei Complementar nº 110/2001)</t>
    </r>
  </si>
  <si>
    <r>
      <rPr>
        <b/>
        <sz val="10"/>
        <color theme="1"/>
        <rFont val="Calibri"/>
        <family val="2"/>
        <scheme val="minor"/>
      </rPr>
      <t>Aviso Prévio Trabalhado</t>
    </r>
    <r>
      <rPr>
        <sz val="10"/>
        <color theme="1"/>
        <rFont val="Calibri"/>
        <family val="2"/>
        <scheme val="minor"/>
      </rPr>
      <t xml:space="preserve"> </t>
    </r>
    <r>
      <rPr>
        <sz val="8"/>
        <color theme="1"/>
        <rFont val="Calibri"/>
        <family val="2"/>
        <scheme val="minor"/>
      </rPr>
      <t xml:space="preserve">(redução de 7 dias/mes ou de 2 horas/dia, percentual relativo a contrato de 12 meses)  =  [(7/30)/12]*100=1,944%  </t>
    </r>
    <r>
      <rPr>
        <sz val="7"/>
        <color theme="1"/>
        <rFont val="Calibri"/>
        <family val="2"/>
        <scheme val="minor"/>
      </rPr>
      <t>(Ac.3006/2010-TCU; art.7º, XXI ,CF/88, 477, 487 e 491-CLT)</t>
    </r>
  </si>
  <si>
    <r>
      <t xml:space="preserve">Nota 1: </t>
    </r>
    <r>
      <rPr>
        <sz val="7"/>
        <color theme="1"/>
        <rFont val="Calibri"/>
        <family val="2"/>
        <scheme val="minor"/>
      </rPr>
      <t>Os itens que contemplam o</t>
    </r>
    <r>
      <rPr>
        <b/>
        <sz val="7"/>
        <color theme="1"/>
        <rFont val="Calibri"/>
        <family val="2"/>
        <scheme val="minor"/>
      </rPr>
      <t xml:space="preserve"> módulo 4 se referem ao custo dos dias trabalhados pelo repositor/substituto, quando </t>
    </r>
    <r>
      <rPr>
        <sz val="7"/>
        <color theme="1"/>
        <rFont val="Calibri"/>
        <family val="2"/>
        <scheme val="minor"/>
      </rPr>
      <t>o empregado</t>
    </r>
    <r>
      <rPr>
        <b/>
        <sz val="7"/>
        <color theme="1"/>
        <rFont val="Calibri"/>
        <family val="2"/>
        <scheme val="minor"/>
      </rPr>
      <t xml:space="preserve"> alocado na prestação de serviço estiver ausente, </t>
    </r>
    <r>
      <rPr>
        <sz val="7"/>
        <color theme="1"/>
        <rFont val="Calibri"/>
        <family val="2"/>
        <scheme val="minor"/>
      </rPr>
      <t>conforme as previsões estabelecidas na legislação.</t>
    </r>
  </si>
  <si>
    <r>
      <rPr>
        <b/>
        <sz val="7"/>
        <color theme="1"/>
        <rFont val="Calibri"/>
        <family val="2"/>
        <scheme val="minor"/>
      </rPr>
      <t xml:space="preserve">Nota: </t>
    </r>
    <r>
      <rPr>
        <sz val="7"/>
        <color theme="1"/>
        <rFont val="Calibri"/>
        <family val="2"/>
        <scheme val="minor"/>
      </rPr>
      <t>As alíneas “A” a “F” referem-se somente ao custo que será pago ao repositor pelos dias trabalhados quando da necessidade de substituir a mão de obra alocada na prestação do serviço.</t>
    </r>
  </si>
  <si>
    <r>
      <rPr>
        <b/>
        <sz val="7"/>
        <color theme="1"/>
        <rFont val="Calibri"/>
        <family val="2"/>
        <scheme val="minor"/>
      </rPr>
      <t xml:space="preserve">Nota: </t>
    </r>
    <r>
      <rPr>
        <sz val="7"/>
        <color theme="1"/>
        <rFont val="Calibri"/>
        <family val="2"/>
        <scheme val="minor"/>
      </rPr>
      <t>Quando houver a necessidade de reposição de um empregado durante sua ausência nos casos de intervalo para repouso ou alimentação deve-se contemplar o Submódulo 4.2.</t>
    </r>
  </si>
  <si>
    <r>
      <rPr>
        <b/>
        <sz val="7"/>
        <color theme="1"/>
        <rFont val="Calibri"/>
        <family val="2"/>
        <scheme val="minor"/>
      </rPr>
      <t>Nota 1:</t>
    </r>
    <r>
      <rPr>
        <sz val="7"/>
        <color theme="1"/>
        <rFont val="Calibri"/>
        <family val="2"/>
        <scheme val="minor"/>
      </rPr>
      <t xml:space="preserve"> Custos Indiretos, Tributos e Lucro por empregado</t>
    </r>
  </si>
  <si>
    <r>
      <rPr>
        <b/>
        <sz val="7"/>
        <color theme="1"/>
        <rFont val="Calibri"/>
        <family val="2"/>
        <scheme val="minor"/>
      </rPr>
      <t xml:space="preserve">Nota 2: </t>
    </r>
    <r>
      <rPr>
        <sz val="7"/>
        <color theme="1"/>
        <rFont val="Calibri"/>
        <family val="2"/>
        <scheme val="minor"/>
      </rPr>
      <t>O valor referente a tributos é obtido aplicando-se o percentual sobre o valor do faturamento.</t>
    </r>
  </si>
  <si>
    <r>
      <t>N</t>
    </r>
    <r>
      <rPr>
        <strike/>
        <sz val="9"/>
        <color theme="1"/>
        <rFont val="Calibri"/>
        <family val="2"/>
        <scheme val="minor"/>
      </rPr>
      <t>º</t>
    </r>
    <r>
      <rPr>
        <sz val="9"/>
        <color theme="1"/>
        <rFont val="Calibri"/>
        <family val="2"/>
        <scheme val="minor"/>
      </rPr>
      <t xml:space="preserve"> de meses de execução contratual</t>
    </r>
  </si>
  <si>
    <r>
      <t>N</t>
    </r>
    <r>
      <rPr>
        <strike/>
        <sz val="9"/>
        <color theme="1"/>
        <rFont val="Calibri Light"/>
        <family val="2"/>
      </rPr>
      <t>º</t>
    </r>
    <r>
      <rPr>
        <sz val="9"/>
        <color theme="1"/>
        <rFont val="Calibri Light"/>
        <family val="2"/>
      </rPr>
      <t xml:space="preserve"> de meses de execução contratual</t>
    </r>
  </si>
  <si>
    <r>
      <t xml:space="preserve">Efeitos Financeiros a partir de  03.JUN.2019                                         </t>
    </r>
    <r>
      <rPr>
        <b/>
        <sz val="10"/>
        <color rgb="FFFF0000"/>
        <rFont val="Calibri"/>
        <family val="2"/>
        <scheme val="minor"/>
      </rPr>
      <t xml:space="preserve"> (INÍCIO DO CONTRATO)</t>
    </r>
  </si>
  <si>
    <r>
      <rPr>
        <b/>
        <sz val="7"/>
        <color theme="1"/>
        <rFont val="Calibri Light"/>
        <family val="2"/>
      </rPr>
      <t xml:space="preserve">Nota 1: </t>
    </r>
    <r>
      <rPr>
        <sz val="7"/>
        <color theme="1"/>
        <rFont val="Calibri Light"/>
        <family val="2"/>
      </rPr>
      <t>Custos Indiretos, Tributos e Lucro por empregado</t>
    </r>
  </si>
  <si>
    <r>
      <rPr>
        <b/>
        <sz val="7"/>
        <color theme="1"/>
        <rFont val="Calibri Light"/>
        <family val="2"/>
      </rPr>
      <t xml:space="preserve">Nota 2: </t>
    </r>
    <r>
      <rPr>
        <sz val="7"/>
        <color theme="1"/>
        <rFont val="Calibri Light"/>
        <family val="2"/>
      </rPr>
      <t>O valor referente a tributos é obtido aplicando-se o percentual sobre o valor do faturamento.</t>
    </r>
  </si>
  <si>
    <r>
      <rPr>
        <b/>
        <sz val="10"/>
        <color theme="1"/>
        <rFont val="Calibri Light"/>
        <family val="2"/>
      </rPr>
      <t>Auxílio Transporte</t>
    </r>
    <r>
      <rPr>
        <sz val="10"/>
        <color theme="1"/>
        <rFont val="Calibri Light"/>
        <family val="2"/>
      </rPr>
      <t xml:space="preserve"> </t>
    </r>
    <r>
      <rPr>
        <sz val="8"/>
        <color theme="1"/>
        <rFont val="Calibri Light"/>
        <family val="2"/>
      </rPr>
      <t>((R$ 5,00+R$ 2,50)x2x21,5 dias) - 6% Salário Base  - Itinerário: Cidade Satélite/Estação Rodoviária P.P/Esplanada/Vice-versa - CLÁUSULA DÉCIMA QUARTA - VALE-TRANSPORTE CCT/2018</t>
    </r>
  </si>
  <si>
    <r>
      <rPr>
        <b/>
        <sz val="10"/>
        <color theme="1"/>
        <rFont val="Calibri Light"/>
        <family val="2"/>
      </rPr>
      <t>Auxílio Refeição/Alimentação</t>
    </r>
    <r>
      <rPr>
        <sz val="10"/>
        <color theme="1"/>
        <rFont val="Calibri Light"/>
        <family val="2"/>
      </rPr>
      <t xml:space="preserve"> </t>
    </r>
    <r>
      <rPr>
        <sz val="8"/>
        <color theme="1"/>
        <rFont val="Calibri Light"/>
        <family val="2"/>
      </rPr>
      <t>(Tiquete refeição de R$31,50 x 21,5 dias efetivamente trabalhados) - CLÁUSULA DÉCIMA TERCEIRA - AUXÍLIO ALIMENTAÇÃO- AUXÍLIO ALIMENTAÇÃO CCT/2018</t>
    </r>
  </si>
  <si>
    <r>
      <rPr>
        <b/>
        <sz val="7"/>
        <color theme="1"/>
        <rFont val="Calibri Light"/>
        <family val="2"/>
      </rPr>
      <t xml:space="preserve">Nota 1: </t>
    </r>
    <r>
      <rPr>
        <sz val="7"/>
        <color theme="1"/>
        <rFont val="Calibri Light"/>
        <family val="2"/>
      </rPr>
      <t>O valor informado deverá ser o custo real do benefício (descontado o valor eventualmente pago pelo empregado).</t>
    </r>
  </si>
  <si>
    <r>
      <t>N</t>
    </r>
    <r>
      <rPr>
        <b/>
        <strike/>
        <sz val="10"/>
        <color theme="1"/>
        <rFont val="Calibri"/>
        <family val="2"/>
        <scheme val="minor"/>
      </rPr>
      <t>º</t>
    </r>
    <r>
      <rPr>
        <b/>
        <sz val="10"/>
        <color theme="1"/>
        <rFont val="Calibri"/>
        <family val="2"/>
        <scheme val="minor"/>
      </rPr>
      <t xml:space="preserve"> Processo: 48340.003373/2018-45 - Licitação Nº 18/2018  -  Dia 15/01/2019 às 10:00 horas</t>
    </r>
  </si>
  <si>
    <r>
      <t>N</t>
    </r>
    <r>
      <rPr>
        <b/>
        <strike/>
        <sz val="9"/>
        <color theme="1"/>
        <rFont val="Calibri"/>
        <family val="2"/>
        <scheme val="minor"/>
      </rPr>
      <t>º</t>
    </r>
    <r>
      <rPr>
        <b/>
        <sz val="9"/>
        <color theme="1"/>
        <rFont val="Calibri"/>
        <family val="2"/>
        <scheme val="minor"/>
      </rPr>
      <t xml:space="preserve"> Processo: 48340.003373/2018-45 - Licitação Nº 18/2018  -  Dia 15/01/2019 às 10:00 horas</t>
    </r>
  </si>
  <si>
    <r>
      <rPr>
        <b/>
        <sz val="7"/>
        <color theme="1"/>
        <rFont val="Calibri Light"/>
        <family val="2"/>
      </rPr>
      <t>Nota:</t>
    </r>
    <r>
      <rPr>
        <sz val="7"/>
        <color theme="1"/>
        <rFont val="Calibri Light"/>
        <family val="2"/>
      </rPr>
      <t xml:space="preserve"> Qdo houver a necessidade de reposição de um empregado durante sua ausência nos casos de intervalo para repouso ou alimentação deve-se contemplar o Submódulo 4.2.</t>
    </r>
  </si>
  <si>
    <t>CCT-2019 - SINDSERVIÇOS-DF / SEAC-DF</t>
  </si>
  <si>
    <t>CCT-2019-SINTEC-DF/SEAC-DF</t>
  </si>
  <si>
    <r>
      <rPr>
        <b/>
        <sz val="10"/>
        <rFont val="Calibri Light"/>
        <family val="2"/>
      </rPr>
      <t xml:space="preserve">CCT-2019 - </t>
    </r>
    <r>
      <rPr>
        <b/>
        <sz val="10"/>
        <color rgb="FFFF0000"/>
        <rFont val="Calibri Light"/>
        <family val="2"/>
      </rPr>
      <t>SINDSERVIÇOS-DF / SEAC-DF</t>
    </r>
  </si>
  <si>
    <r>
      <rPr>
        <b/>
        <sz val="10"/>
        <rFont val="Calibri Light"/>
        <family val="2"/>
      </rPr>
      <t>CCT-2019 -</t>
    </r>
    <r>
      <rPr>
        <b/>
        <sz val="10"/>
        <color rgb="FFFF0000"/>
        <rFont val="Calibri Light"/>
        <family val="2"/>
      </rPr>
      <t xml:space="preserve"> SINDSERVIÇOS-DF / SEAC-DF</t>
    </r>
  </si>
  <si>
    <t>01 de janeiro de 2019</t>
  </si>
  <si>
    <t xml:space="preserve">01 de janeiro </t>
  </si>
  <si>
    <t>INICIO DO CONTRATO</t>
  </si>
  <si>
    <t>Nota (1): Informar o valor da unidade de medida por tipo de serviço.</t>
  </si>
  <si>
    <t>CCT-2019/2020 - SENGE-DF / SINDUSCON-DF</t>
  </si>
  <si>
    <t>Valores válidos para                                           1º/Maio/2018 a 30/Abr/2019</t>
  </si>
  <si>
    <r>
      <t xml:space="preserve">Valores válidos para                                     1º/Maio/2019 a 30/Abr/2020                                 </t>
    </r>
    <r>
      <rPr>
        <b/>
        <sz val="8"/>
        <color rgb="FFFF0000"/>
        <rFont val="Calibri"/>
        <family val="2"/>
        <scheme val="minor"/>
      </rPr>
      <t xml:space="preserve">     Efeitos Financeiros à partir de  03/Junho/2019                                          (INÍCIO DO CONTRATO)</t>
    </r>
  </si>
  <si>
    <t xml:space="preserve">TERMO ADITIVO CCT-2017/2019 SENGE-DF / SINDUSCON-DF  </t>
  </si>
  <si>
    <r>
      <rPr>
        <b/>
        <sz val="12"/>
        <color rgb="FFFF0000"/>
        <rFont val="Calibri Light"/>
        <family val="2"/>
      </rPr>
      <t xml:space="preserve">1a. REPACTUAÇÃO - CICLO 2019/2020        </t>
    </r>
    <r>
      <rPr>
        <b/>
        <sz val="12"/>
        <color theme="1"/>
        <rFont val="Calibri Light"/>
        <family val="2"/>
      </rPr>
      <t xml:space="preserve">                                                                                      </t>
    </r>
    <r>
      <rPr>
        <b/>
        <sz val="10"/>
        <color theme="1"/>
        <rFont val="Calibri Light"/>
        <family val="2"/>
      </rPr>
      <t xml:space="preserve">  </t>
    </r>
    <r>
      <rPr>
        <b/>
        <sz val="8"/>
        <rFont val="Calibri Light"/>
        <family val="2"/>
      </rPr>
      <t xml:space="preserve"> </t>
    </r>
    <r>
      <rPr>
        <b/>
        <sz val="8"/>
        <color rgb="FFFF0000"/>
        <rFont val="Calibri Light"/>
        <family val="2"/>
      </rPr>
      <t>AJUSTE DE VALORES VÁLIDOS PARA FASE INICIAL DA CONTRATAÇÃO                                                                                                   (Em função DO TERMO ADITIVO A CCT 2017/2019 - CCT SENGE-DF / SINDUSCON-DF)</t>
    </r>
    <r>
      <rPr>
        <b/>
        <sz val="10"/>
        <color rgb="FFFF0000"/>
        <rFont val="Calibri Light"/>
        <family val="2"/>
      </rPr>
      <t xml:space="preserve">
NR. DE REGISTRO NO MTE: DF000022/2019 </t>
    </r>
  </si>
  <si>
    <r>
      <rPr>
        <b/>
        <sz val="12"/>
        <color rgb="FFFF0000"/>
        <rFont val="Calibri Light"/>
        <family val="2"/>
      </rPr>
      <t xml:space="preserve">1a. REPACTUAÇÃO - CICLO 2019               </t>
    </r>
    <r>
      <rPr>
        <b/>
        <sz val="12"/>
        <color theme="1"/>
        <rFont val="Calibri Light"/>
        <family val="2"/>
      </rPr>
      <t xml:space="preserve">                                                                                      </t>
    </r>
    <r>
      <rPr>
        <b/>
        <sz val="12"/>
        <color rgb="FFFF0000"/>
        <rFont val="Calibri Light"/>
        <family val="2"/>
      </rPr>
      <t xml:space="preserve">  </t>
    </r>
    <r>
      <rPr>
        <b/>
        <sz val="8"/>
        <color rgb="FFFF0000"/>
        <rFont val="Calibri Light"/>
        <family val="2"/>
      </rPr>
      <t xml:space="preserve">  (Com efeitos Financeiros à partir de  03.JUN.2019 - INÍCIO DO CONTRATO)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</si>
</sst>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_-;\-* #,##0_-;_-* &quot;-&quot;??_-;_-@_-"/>
    <numFmt numFmtId="165" formatCode="#,##0.0"/>
    <numFmt numFmtId="166" formatCode="&quot;R$&quot;\ #,##0.00"/>
    <numFmt numFmtId="167" formatCode="#,##0.00_ ;\-#,##0.00\ "/>
    <numFmt numFmtId="168" formatCode="0.000%"/>
    <numFmt numFmtId="169" formatCode="#,##0_ ;\-#,##0\ "/>
    <numFmt numFmtId="170" formatCode="0.0%"/>
    <numFmt numFmtId="171" formatCode="#,##0.00;[Red]#,##0.00"/>
  </numFmts>
  <fonts count="94" x14ac:knownFonts="1">
    <font>
      <sz val="11"/>
      <color theme="1"/>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sz val="9"/>
      <color theme="1"/>
      <name val="Times New Roman"/>
      <family val="1"/>
    </font>
    <font>
      <sz val="10"/>
      <color rgb="FF000000"/>
      <name val="Times New Roman"/>
      <family val="1"/>
    </font>
    <font>
      <b/>
      <sz val="11"/>
      <color theme="1"/>
      <name val="Calibri"/>
      <family val="2"/>
      <scheme val="minor"/>
    </font>
    <font>
      <b/>
      <sz val="12"/>
      <name val="Times New Roman"/>
      <family val="1"/>
    </font>
    <font>
      <sz val="11"/>
      <color theme="1"/>
      <name val="Calibri"/>
      <family val="2"/>
      <scheme val="minor"/>
    </font>
    <font>
      <b/>
      <sz val="11"/>
      <color theme="1"/>
      <name val="Times New Roman"/>
      <family val="1"/>
    </font>
    <font>
      <b/>
      <sz val="12"/>
      <color theme="1"/>
      <name val="Times New Roman"/>
      <family val="1"/>
    </font>
    <font>
      <b/>
      <sz val="11"/>
      <color theme="1"/>
      <name val="Arial"/>
      <family val="2"/>
    </font>
    <font>
      <sz val="10"/>
      <name val="Arial"/>
      <family val="2"/>
    </font>
    <font>
      <b/>
      <sz val="12"/>
      <color rgb="FF333333"/>
      <name val="Calibri"/>
      <family val="2"/>
      <scheme val="minor"/>
    </font>
    <font>
      <sz val="11"/>
      <color rgb="FF666666"/>
      <name val="Calibri"/>
      <family val="2"/>
      <scheme val="minor"/>
    </font>
    <font>
      <i/>
      <sz val="11"/>
      <color theme="1"/>
      <name val="Calibri"/>
      <family val="2"/>
      <scheme val="minor"/>
    </font>
    <font>
      <sz val="11"/>
      <color theme="1"/>
      <name val="Times New Roman"/>
      <family val="1"/>
    </font>
    <font>
      <sz val="10"/>
      <name val="Times New Roman"/>
      <family val="1"/>
    </font>
    <font>
      <sz val="10"/>
      <color rgb="FFFF0000"/>
      <name val="Times New Roman"/>
      <family val="1"/>
    </font>
    <font>
      <sz val="8"/>
      <color indexed="81"/>
      <name val="Tahoma"/>
      <family val="2"/>
    </font>
    <font>
      <b/>
      <sz val="8"/>
      <color indexed="81"/>
      <name val="Tahoma"/>
      <family val="2"/>
    </font>
    <font>
      <sz val="10"/>
      <color theme="1"/>
      <name val="Calibri Light"/>
      <family val="2"/>
    </font>
    <font>
      <sz val="11"/>
      <color theme="1"/>
      <name val="Calibri Light"/>
      <family val="2"/>
    </font>
    <font>
      <b/>
      <sz val="9"/>
      <color theme="1"/>
      <name val="Calibri Light"/>
      <family val="2"/>
    </font>
    <font>
      <b/>
      <sz val="10"/>
      <color theme="1"/>
      <name val="Calibri Light"/>
      <family val="2"/>
    </font>
    <font>
      <strike/>
      <sz val="10"/>
      <color theme="1"/>
      <name val="Calibri Light"/>
      <family val="2"/>
    </font>
    <font>
      <sz val="9"/>
      <color theme="1"/>
      <name val="Calibri Light"/>
      <family val="2"/>
    </font>
    <font>
      <b/>
      <sz val="10"/>
      <name val="Calibri Light"/>
      <family val="2"/>
    </font>
    <font>
      <b/>
      <sz val="9"/>
      <color rgb="FF000000"/>
      <name val="Calibri Light"/>
      <family val="2"/>
    </font>
    <font>
      <sz val="9"/>
      <color rgb="FF000000"/>
      <name val="Calibri Light"/>
      <family val="2"/>
    </font>
    <font>
      <b/>
      <sz val="10"/>
      <color rgb="FF000000"/>
      <name val="Calibri Light"/>
      <family val="2"/>
    </font>
    <font>
      <sz val="10"/>
      <color rgb="FF000000"/>
      <name val="Calibri Light"/>
      <family val="2"/>
    </font>
    <font>
      <b/>
      <sz val="11"/>
      <color theme="1"/>
      <name val="Calibri Light"/>
      <family val="2"/>
    </font>
    <font>
      <vertAlign val="superscript"/>
      <sz val="10"/>
      <color rgb="FF000000"/>
      <name val="Calibri Light"/>
      <family val="2"/>
    </font>
    <font>
      <sz val="10"/>
      <name val="Calibri Light"/>
      <family val="2"/>
    </font>
    <font>
      <sz val="10"/>
      <color rgb="FFFF0000"/>
      <name val="Calibri Light"/>
      <family val="2"/>
    </font>
    <font>
      <b/>
      <sz val="12"/>
      <color theme="1"/>
      <name val="Calibri Light"/>
      <family val="2"/>
    </font>
    <font>
      <b/>
      <sz val="8"/>
      <color theme="1"/>
      <name val="Calibri Light"/>
      <family val="2"/>
    </font>
    <font>
      <b/>
      <sz val="8"/>
      <name val="Calibri Light"/>
      <family val="2"/>
    </font>
    <font>
      <sz val="8"/>
      <color theme="1"/>
      <name val="Calibri Light"/>
      <family val="2"/>
    </font>
    <font>
      <b/>
      <sz val="10"/>
      <color theme="1"/>
      <name val="Calibri"/>
      <family val="2"/>
      <scheme val="minor"/>
    </font>
    <font>
      <b/>
      <u/>
      <sz val="12"/>
      <color theme="1"/>
      <name val="Calibri"/>
      <family val="2"/>
      <scheme val="minor"/>
    </font>
    <font>
      <sz val="10"/>
      <color theme="1"/>
      <name val="Calibri"/>
      <family val="2"/>
      <scheme val="minor"/>
    </font>
    <font>
      <b/>
      <strike/>
      <sz val="10"/>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8"/>
      <color theme="1"/>
      <name val="Calibri"/>
      <family val="2"/>
      <scheme val="minor"/>
    </font>
    <font>
      <b/>
      <sz val="8"/>
      <name val="Calibri"/>
      <family val="2"/>
      <scheme val="minor"/>
    </font>
    <font>
      <b/>
      <sz val="12"/>
      <color theme="1"/>
      <name val="Calibri"/>
      <family val="2"/>
      <scheme val="minor"/>
    </font>
    <font>
      <sz val="8"/>
      <color theme="1"/>
      <name val="Calibri"/>
      <family val="2"/>
      <scheme val="minor"/>
    </font>
    <font>
      <sz val="10"/>
      <color rgb="FFFF0000"/>
      <name val="Calibri"/>
      <family val="2"/>
      <scheme val="minor"/>
    </font>
    <font>
      <sz val="9"/>
      <color theme="1"/>
      <name val="Calibri"/>
      <family val="2"/>
      <scheme val="minor"/>
    </font>
    <font>
      <b/>
      <sz val="9"/>
      <color theme="1"/>
      <name val="Calibri"/>
      <family val="2"/>
      <scheme val="minor"/>
    </font>
    <font>
      <b/>
      <sz val="9"/>
      <name val="Calibri"/>
      <family val="2"/>
      <scheme val="minor"/>
    </font>
    <font>
      <b/>
      <sz val="9"/>
      <name val="Calibri Light"/>
      <family val="2"/>
    </font>
    <font>
      <b/>
      <sz val="12"/>
      <name val="Calibri"/>
      <family val="2"/>
      <scheme val="minor"/>
    </font>
    <font>
      <b/>
      <u/>
      <sz val="12"/>
      <color rgb="FFFF0000"/>
      <name val="Calibri"/>
      <family val="2"/>
      <scheme val="minor"/>
    </font>
    <font>
      <b/>
      <sz val="7.5"/>
      <color rgb="FFFF0000"/>
      <name val="Calibri Light"/>
      <family val="2"/>
    </font>
    <font>
      <sz val="8"/>
      <color rgb="FF000000"/>
      <name val="Calibri Light"/>
      <family val="2"/>
    </font>
    <font>
      <b/>
      <sz val="8"/>
      <color rgb="FF000000"/>
      <name val="Calibri Light"/>
      <family val="2"/>
    </font>
    <font>
      <b/>
      <sz val="8.5"/>
      <color theme="1"/>
      <name val="Calibri"/>
      <family val="2"/>
      <scheme val="minor"/>
    </font>
    <font>
      <sz val="9"/>
      <name val="Calibri Light"/>
      <family val="2"/>
    </font>
    <font>
      <b/>
      <sz val="10"/>
      <color rgb="FFFF0000"/>
      <name val="Calibri Light"/>
      <family val="2"/>
    </font>
    <font>
      <b/>
      <sz val="9"/>
      <color rgb="FFFF0000"/>
      <name val="Calibri Light"/>
      <family val="2"/>
    </font>
    <font>
      <sz val="9"/>
      <color rgb="FFFF0000"/>
      <name val="Calibri Light"/>
      <family val="2"/>
    </font>
    <font>
      <sz val="8"/>
      <color rgb="FFFF0000"/>
      <name val="Calibri Light"/>
      <family val="2"/>
    </font>
    <font>
      <b/>
      <sz val="8"/>
      <color rgb="FFFF0000"/>
      <name val="Calibri Light"/>
      <family val="2"/>
    </font>
    <font>
      <sz val="7"/>
      <color theme="1"/>
      <name val="Calibri"/>
      <family val="2"/>
      <scheme val="minor"/>
    </font>
    <font>
      <b/>
      <sz val="7"/>
      <color theme="1"/>
      <name val="Calibri"/>
      <family val="2"/>
      <scheme val="minor"/>
    </font>
    <font>
      <sz val="7.5"/>
      <color theme="1"/>
      <name val="Calibri Light"/>
      <family val="2"/>
    </font>
    <font>
      <b/>
      <sz val="7.5"/>
      <color theme="1"/>
      <name val="Calibri Light"/>
      <family val="2"/>
    </font>
    <font>
      <sz val="7.5"/>
      <color rgb="FF000000"/>
      <name val="Calibri Light"/>
      <family val="2"/>
    </font>
    <font>
      <b/>
      <sz val="7.5"/>
      <color rgb="FF000000"/>
      <name val="Calibri Light"/>
      <family val="2"/>
    </font>
    <font>
      <b/>
      <sz val="7.5"/>
      <name val="Calibri Light"/>
      <family val="2"/>
    </font>
    <font>
      <b/>
      <strike/>
      <sz val="9"/>
      <color theme="1"/>
      <name val="Calibri"/>
      <family val="2"/>
      <scheme val="minor"/>
    </font>
    <font>
      <sz val="7"/>
      <color theme="1"/>
      <name val="Calibri Light"/>
      <family val="2"/>
    </font>
    <font>
      <b/>
      <sz val="7"/>
      <color theme="1"/>
      <name val="Calibri Light"/>
      <family val="2"/>
    </font>
    <font>
      <sz val="7"/>
      <color rgb="FF000000"/>
      <name val="Calibri Light"/>
      <family val="2"/>
    </font>
    <font>
      <b/>
      <sz val="7"/>
      <color rgb="FF000000"/>
      <name val="Calibri Light"/>
      <family val="2"/>
    </font>
    <font>
      <b/>
      <sz val="7"/>
      <name val="Calibri Light"/>
      <family val="2"/>
    </font>
    <font>
      <sz val="7"/>
      <color rgb="FF000000"/>
      <name val="Calibri"/>
      <family val="2"/>
      <scheme val="minor"/>
    </font>
    <font>
      <b/>
      <sz val="7"/>
      <color rgb="FF000000"/>
      <name val="Calibri"/>
      <family val="2"/>
      <scheme val="minor"/>
    </font>
    <font>
      <b/>
      <sz val="7"/>
      <name val="Calibri"/>
      <family val="2"/>
      <scheme val="minor"/>
    </font>
    <font>
      <strike/>
      <sz val="9"/>
      <color theme="1"/>
      <name val="Calibri"/>
      <family val="2"/>
      <scheme val="minor"/>
    </font>
    <font>
      <strike/>
      <sz val="9"/>
      <color theme="1"/>
      <name val="Calibri Light"/>
      <family val="2"/>
    </font>
    <font>
      <sz val="9.5"/>
      <color theme="1"/>
      <name val="Calibri Light"/>
      <family val="2"/>
    </font>
    <font>
      <sz val="8"/>
      <name val="Calibri Light"/>
      <family val="2"/>
    </font>
    <font>
      <b/>
      <sz val="12"/>
      <name val="Calibri Light"/>
      <family val="2"/>
    </font>
    <font>
      <sz val="12"/>
      <name val="Calibri Light"/>
      <family val="2"/>
    </font>
    <font>
      <sz val="12"/>
      <color theme="1"/>
      <name val="Calibri Light"/>
      <family val="2"/>
    </font>
    <font>
      <b/>
      <sz val="12"/>
      <color rgb="FFFF0000"/>
      <name val="Calibri Light"/>
      <family val="2"/>
    </font>
    <font>
      <sz val="12"/>
      <color rgb="FFFF0000"/>
      <name val="Calibri Light"/>
      <family val="2"/>
    </font>
    <font>
      <b/>
      <sz val="8"/>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rgb="FF000000"/>
      </patternFill>
    </fill>
    <fill>
      <patternFill patternType="solid">
        <fgColor theme="0" tint="-0.14999847407452621"/>
        <bgColor rgb="FF000000"/>
      </patternFill>
    </fill>
    <fill>
      <patternFill patternType="solid">
        <fgColor theme="8" tint="0.79998168889431442"/>
        <bgColor indexed="64"/>
      </patternFill>
    </fill>
    <fill>
      <patternFill patternType="solid">
        <fgColor rgb="FFFFFFCC"/>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66"/>
        <bgColor indexed="64"/>
      </patternFill>
    </fill>
  </fills>
  <borders count="4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rgb="FF000000"/>
      </left>
      <right style="hair">
        <color rgb="FF000000"/>
      </right>
      <top style="hair">
        <color rgb="FF000000"/>
      </top>
      <bottom style="hair">
        <color rgb="FF000000"/>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s>
  <cellStyleXfs count="5">
    <xf numFmtId="0" fontId="0"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cellStyleXfs>
  <cellXfs count="1091">
    <xf numFmtId="0" fontId="0" fillId="0" borderId="0" xfId="0"/>
    <xf numFmtId="0" fontId="0" fillId="0" borderId="0" xfId="0" applyAlignment="1">
      <alignment horizontal="center" vertical="center"/>
    </xf>
    <xf numFmtId="0" fontId="6" fillId="0" borderId="0" xfId="0" applyFont="1" applyAlignment="1">
      <alignment horizontal="center" vertical="center"/>
    </xf>
    <xf numFmtId="0" fontId="1" fillId="0" borderId="2" xfId="0" applyFont="1" applyBorder="1" applyAlignment="1">
      <alignment horizontal="justify" vertical="center" wrapText="1"/>
    </xf>
    <xf numFmtId="3" fontId="1" fillId="0" borderId="2" xfId="1" applyNumberFormat="1" applyFont="1" applyBorder="1" applyAlignment="1">
      <alignment horizontal="center" vertical="center" wrapText="1"/>
    </xf>
    <xf numFmtId="43" fontId="1" fillId="0" borderId="2" xfId="1" applyFont="1" applyBorder="1" applyAlignment="1">
      <alignment horizontal="center" vertical="center" wrapText="1"/>
    </xf>
    <xf numFmtId="0" fontId="4" fillId="0" borderId="2" xfId="0" applyFont="1" applyBorder="1" applyAlignment="1">
      <alignment horizontal="justify" vertical="center" wrapText="1"/>
    </xf>
    <xf numFmtId="3" fontId="1"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0" fontId="5" fillId="0" borderId="2" xfId="0" applyFont="1" applyBorder="1" applyAlignment="1">
      <alignment horizontal="justify" vertical="center" wrapText="1"/>
    </xf>
    <xf numFmtId="4" fontId="1" fillId="0" borderId="2" xfId="0" applyNumberFormat="1" applyFont="1" applyBorder="1" applyAlignment="1">
      <alignment horizontal="center" vertical="center" wrapText="1"/>
    </xf>
    <xf numFmtId="4" fontId="2" fillId="0" borderId="2" xfId="0" applyNumberFormat="1" applyFont="1" applyFill="1" applyBorder="1" applyAlignment="1">
      <alignment horizontal="center" vertical="center" wrapText="1"/>
    </xf>
    <xf numFmtId="43" fontId="2" fillId="0" borderId="2" xfId="1" applyFont="1" applyBorder="1" applyAlignment="1">
      <alignment horizontal="center" vertical="center" wrapText="1"/>
    </xf>
    <xf numFmtId="0" fontId="0" fillId="0" borderId="2" xfId="0" applyBorder="1"/>
    <xf numFmtId="0" fontId="0" fillId="0" borderId="2" xfId="0" applyBorder="1" applyAlignment="1">
      <alignment horizontal="center" vertical="center"/>
    </xf>
    <xf numFmtId="0" fontId="0" fillId="0" borderId="2" xfId="0" applyBorder="1" applyAlignment="1">
      <alignment horizontal="center"/>
    </xf>
    <xf numFmtId="0" fontId="0" fillId="0" borderId="2" xfId="0" applyBorder="1" applyAlignment="1">
      <alignment vertical="center" wrapText="1"/>
    </xf>
    <xf numFmtId="0" fontId="0" fillId="0" borderId="2" xfId="0" applyNumberFormat="1" applyBorder="1" applyAlignment="1">
      <alignment horizontal="center" vertical="center"/>
    </xf>
    <xf numFmtId="164" fontId="0" fillId="0" borderId="2" xfId="1" applyNumberFormat="1" applyFont="1" applyBorder="1" applyAlignment="1">
      <alignment horizontal="center" vertical="center"/>
    </xf>
    <xf numFmtId="43" fontId="0" fillId="0" borderId="2" xfId="1" applyFont="1" applyBorder="1" applyAlignment="1">
      <alignment horizontal="center" vertical="center"/>
    </xf>
    <xf numFmtId="0" fontId="0" fillId="0" borderId="2" xfId="0" applyBorder="1" applyAlignment="1">
      <alignment wrapText="1"/>
    </xf>
    <xf numFmtId="164" fontId="0" fillId="0" borderId="1" xfId="1" applyNumberFormat="1" applyFont="1" applyFill="1" applyBorder="1" applyAlignment="1">
      <alignment horizontal="center" vertical="center"/>
    </xf>
    <xf numFmtId="43" fontId="0" fillId="0" borderId="1" xfId="1" applyFont="1" applyFill="1" applyBorder="1" applyAlignment="1">
      <alignment horizontal="center" vertical="center"/>
    </xf>
    <xf numFmtId="4" fontId="0" fillId="0" borderId="2" xfId="0" applyNumberFormat="1" applyBorder="1"/>
    <xf numFmtId="0" fontId="0" fillId="0" borderId="1" xfId="0" applyFill="1" applyBorder="1" applyAlignment="1">
      <alignment horizontal="center" vertical="center"/>
    </xf>
    <xf numFmtId="4"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left" vertical="center"/>
    </xf>
    <xf numFmtId="2" fontId="1" fillId="0" borderId="2" xfId="1"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7" xfId="0" applyFont="1" applyBorder="1" applyAlignment="1">
      <alignment horizontal="center" vertical="center" wrapText="1"/>
    </xf>
    <xf numFmtId="4" fontId="12" fillId="0" borderId="7" xfId="0" applyNumberFormat="1" applyFont="1" applyBorder="1" applyAlignment="1">
      <alignment horizontal="right" vertical="center" wrapText="1"/>
    </xf>
    <xf numFmtId="0" fontId="13" fillId="0" borderId="0" xfId="0" applyFont="1" applyAlignment="1">
      <alignment horizontal="left" vertical="center"/>
    </xf>
    <xf numFmtId="0" fontId="14" fillId="0" borderId="0" xfId="0" applyFont="1" applyAlignment="1">
      <alignment horizontal="left" vertical="center"/>
    </xf>
    <xf numFmtId="2" fontId="0" fillId="0" borderId="0" xfId="0" applyNumberFormat="1"/>
    <xf numFmtId="0" fontId="15" fillId="0" borderId="0" xfId="0" applyFont="1"/>
    <xf numFmtId="0" fontId="1" fillId="0" borderId="2" xfId="0" applyFont="1" applyFill="1" applyBorder="1" applyAlignment="1">
      <alignment horizontal="justify" vertical="center" wrapText="1"/>
    </xf>
    <xf numFmtId="0" fontId="12" fillId="0" borderId="7" xfId="0" applyFont="1" applyBorder="1" applyAlignment="1">
      <alignment horizontal="justify" vertical="center" wrapText="1"/>
    </xf>
    <xf numFmtId="0" fontId="1" fillId="0" borderId="2" xfId="0" applyFont="1" applyFill="1" applyBorder="1" applyAlignment="1">
      <alignment vertical="center" wrapText="1"/>
    </xf>
    <xf numFmtId="0" fontId="4" fillId="0" borderId="2" xfId="0" applyFont="1" applyFill="1" applyBorder="1" applyAlignment="1">
      <alignment vertical="center" wrapText="1"/>
    </xf>
    <xf numFmtId="4" fontId="2" fillId="0" borderId="5"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4" fontId="1" fillId="0" borderId="2" xfId="1" applyNumberFormat="1" applyFont="1" applyBorder="1" applyAlignment="1">
      <alignment horizontal="center" vertical="center" wrapText="1"/>
    </xf>
    <xf numFmtId="0" fontId="7" fillId="3" borderId="2" xfId="0" applyFont="1" applyFill="1" applyBorder="1" applyAlignment="1">
      <alignment horizontal="center" vertical="center"/>
    </xf>
    <xf numFmtId="0" fontId="7" fillId="3" borderId="2" xfId="0" applyFont="1" applyFill="1" applyBorder="1" applyAlignment="1">
      <alignment vertical="center"/>
    </xf>
    <xf numFmtId="2" fontId="7" fillId="3" borderId="2" xfId="0" applyNumberFormat="1" applyFont="1" applyFill="1" applyBorder="1" applyAlignment="1">
      <alignment vertical="center"/>
    </xf>
    <xf numFmtId="0" fontId="1" fillId="2" borderId="2" xfId="0" applyFont="1" applyFill="1" applyBorder="1" applyAlignment="1">
      <alignment horizontal="center" vertical="center" wrapText="1"/>
    </xf>
    <xf numFmtId="2" fontId="1" fillId="2" borderId="2" xfId="0" applyNumberFormat="1" applyFont="1" applyFill="1" applyBorder="1" applyAlignment="1">
      <alignment horizontal="center" vertical="center" wrapText="1"/>
    </xf>
    <xf numFmtId="0" fontId="17" fillId="0" borderId="2" xfId="0" applyFont="1" applyBorder="1" applyAlignment="1">
      <alignment horizontal="justify" vertical="center" wrapText="1"/>
    </xf>
    <xf numFmtId="0" fontId="16" fillId="2" borderId="4" xfId="0" applyFont="1" applyFill="1" applyBorder="1" applyAlignment="1">
      <alignment horizontal="left" vertical="center" wrapText="1"/>
    </xf>
    <xf numFmtId="0" fontId="0" fillId="2" borderId="0" xfId="0" applyFill="1" applyAlignment="1">
      <alignment horizontal="center" vertical="center"/>
    </xf>
    <xf numFmtId="3" fontId="18" fillId="2" borderId="2" xfId="0" applyNumberFormat="1" applyFont="1" applyFill="1" applyBorder="1" applyAlignment="1">
      <alignment horizontal="center" vertical="center" wrapText="1"/>
    </xf>
    <xf numFmtId="43" fontId="18" fillId="2" borderId="2" xfId="1" applyFont="1" applyFill="1" applyBorder="1" applyAlignment="1">
      <alignment horizontal="center" vertical="center" wrapText="1"/>
    </xf>
    <xf numFmtId="4" fontId="18" fillId="2" borderId="2"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1" fillId="0" borderId="2" xfId="0" applyFont="1" applyBorder="1" applyAlignment="1">
      <alignment horizontal="center" vertical="center" wrapText="1"/>
    </xf>
    <xf numFmtId="0" fontId="9" fillId="0" borderId="4" xfId="0" applyFont="1" applyBorder="1" applyAlignment="1">
      <alignment horizontal="center" vertical="center" wrapText="1"/>
    </xf>
    <xf numFmtId="4" fontId="2" fillId="0" borderId="5" xfId="0" applyNumberFormat="1"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4" fontId="1" fillId="0" borderId="5"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16" fillId="0" borderId="2" xfId="0" applyFont="1" applyBorder="1" applyAlignment="1">
      <alignment horizontal="center" vertical="center" wrapText="1"/>
    </xf>
    <xf numFmtId="4" fontId="1" fillId="0" borderId="2" xfId="0" applyNumberFormat="1" applyFont="1" applyFill="1" applyBorder="1" applyAlignment="1">
      <alignment horizontal="center" vertical="center" wrapText="1"/>
    </xf>
    <xf numFmtId="0" fontId="22" fillId="0" borderId="0" xfId="0" applyFont="1"/>
    <xf numFmtId="0" fontId="24" fillId="2" borderId="2" xfId="2" applyFont="1" applyFill="1" applyBorder="1" applyAlignment="1">
      <alignment horizontal="center" vertical="center" wrapText="1"/>
    </xf>
    <xf numFmtId="0" fontId="24" fillId="0" borderId="2" xfId="2" applyFont="1" applyFill="1" applyBorder="1" applyAlignment="1">
      <alignment horizontal="center" vertical="center" wrapText="1"/>
    </xf>
    <xf numFmtId="0" fontId="21" fillId="0" borderId="3" xfId="2" applyFont="1" applyFill="1" applyBorder="1" applyAlignment="1">
      <alignment vertical="center" wrapText="1"/>
    </xf>
    <xf numFmtId="0" fontId="21" fillId="0" borderId="2" xfId="2" applyFont="1" applyFill="1" applyBorder="1" applyAlignment="1">
      <alignment horizontal="center" vertical="center" wrapText="1"/>
    </xf>
    <xf numFmtId="9" fontId="24" fillId="7" borderId="2" xfId="2" applyNumberFormat="1" applyFont="1" applyFill="1" applyBorder="1" applyAlignment="1">
      <alignment horizontal="center" vertical="center" wrapText="1"/>
    </xf>
    <xf numFmtId="0" fontId="24" fillId="0" borderId="3" xfId="2" applyFont="1" applyFill="1" applyBorder="1" applyAlignment="1">
      <alignment vertical="center" wrapText="1"/>
    </xf>
    <xf numFmtId="0" fontId="24" fillId="7" borderId="2" xfId="2" applyFont="1" applyFill="1" applyBorder="1" applyAlignment="1">
      <alignment vertical="center" wrapText="1"/>
    </xf>
    <xf numFmtId="10" fontId="24" fillId="7" borderId="2" xfId="2" applyNumberFormat="1" applyFont="1" applyFill="1" applyBorder="1" applyAlignment="1">
      <alignment horizontal="center" vertical="center" wrapText="1"/>
    </xf>
    <xf numFmtId="0" fontId="21" fillId="2" borderId="3" xfId="2" applyFont="1" applyFill="1" applyBorder="1" applyAlignment="1">
      <alignment horizontal="left" vertical="center" wrapText="1"/>
    </xf>
    <xf numFmtId="0" fontId="21" fillId="2" borderId="4" xfId="2" applyFont="1" applyFill="1" applyBorder="1" applyAlignment="1">
      <alignment horizontal="left" vertical="center" wrapText="1"/>
    </xf>
    <xf numFmtId="0" fontId="24" fillId="2" borderId="3" xfId="2" applyFont="1" applyFill="1" applyBorder="1" applyAlignment="1">
      <alignment horizontal="center" vertical="center" wrapText="1"/>
    </xf>
    <xf numFmtId="0" fontId="24" fillId="2" borderId="4" xfId="2" applyFont="1" applyFill="1" applyBorder="1" applyAlignment="1">
      <alignment horizontal="left" vertical="center" wrapText="1"/>
    </xf>
    <xf numFmtId="10" fontId="24" fillId="2" borderId="4" xfId="2" applyNumberFormat="1" applyFont="1" applyFill="1" applyBorder="1" applyAlignment="1">
      <alignment horizontal="center" vertical="center" wrapText="1"/>
    </xf>
    <xf numFmtId="0" fontId="24" fillId="0" borderId="3" xfId="2" applyFont="1" applyFill="1" applyBorder="1" applyAlignment="1">
      <alignment wrapText="1"/>
    </xf>
    <xf numFmtId="10" fontId="24" fillId="7" borderId="2" xfId="2" applyNumberFormat="1" applyFont="1" applyFill="1" applyBorder="1" applyAlignment="1">
      <alignment horizontal="center" wrapText="1"/>
    </xf>
    <xf numFmtId="0" fontId="24" fillId="2" borderId="3" xfId="2" applyFont="1" applyFill="1" applyBorder="1" applyAlignment="1">
      <alignment vertical="center" wrapText="1"/>
    </xf>
    <xf numFmtId="0" fontId="24" fillId="2" borderId="4" xfId="2" applyFont="1" applyFill="1" applyBorder="1" applyAlignment="1">
      <alignment vertical="center" wrapText="1"/>
    </xf>
    <xf numFmtId="0" fontId="21" fillId="2" borderId="2" xfId="2" applyFont="1" applyFill="1" applyBorder="1" applyAlignment="1">
      <alignment wrapText="1"/>
    </xf>
    <xf numFmtId="0" fontId="24" fillId="2" borderId="4" xfId="2" applyFont="1" applyFill="1" applyBorder="1" applyAlignment="1">
      <alignment horizontal="center" vertical="center" wrapText="1"/>
    </xf>
    <xf numFmtId="0" fontId="21" fillId="2" borderId="2" xfId="2" applyFont="1" applyFill="1" applyBorder="1" applyAlignment="1">
      <alignment horizontal="center" vertical="center" wrapText="1"/>
    </xf>
    <xf numFmtId="0" fontId="24" fillId="2" borderId="3" xfId="0" applyFont="1" applyFill="1" applyBorder="1" applyAlignment="1">
      <alignment vertical="center" wrapText="1"/>
    </xf>
    <xf numFmtId="0" fontId="24" fillId="0" borderId="3" xfId="0" applyFont="1" applyFill="1" applyBorder="1" applyAlignment="1">
      <alignment vertical="center" wrapText="1"/>
    </xf>
    <xf numFmtId="0" fontId="22" fillId="2" borderId="0" xfId="0" applyFont="1" applyFill="1"/>
    <xf numFmtId="0" fontId="21" fillId="0" borderId="0" xfId="0" applyFont="1"/>
    <xf numFmtId="0" fontId="28" fillId="7" borderId="2" xfId="0" applyFont="1" applyFill="1" applyBorder="1" applyAlignment="1">
      <alignment vertical="center" wrapText="1"/>
    </xf>
    <xf numFmtId="0" fontId="23" fillId="7" borderId="2" xfId="0" applyFont="1" applyFill="1" applyBorder="1" applyAlignment="1">
      <alignment horizontal="center" vertical="center" wrapText="1"/>
    </xf>
    <xf numFmtId="0" fontId="29" fillId="0" borderId="2" xfId="0" applyFont="1" applyBorder="1" applyAlignment="1">
      <alignment vertical="center" wrapText="1"/>
    </xf>
    <xf numFmtId="0" fontId="29" fillId="0" borderId="2" xfId="0" applyFont="1" applyBorder="1" applyAlignment="1">
      <alignment horizontal="center" vertical="center" wrapText="1"/>
    </xf>
    <xf numFmtId="0" fontId="26" fillId="2" borderId="2" xfId="0" applyFont="1" applyFill="1" applyBorder="1" applyAlignment="1">
      <alignment horizontal="center" vertical="center" wrapText="1"/>
    </xf>
    <xf numFmtId="2" fontId="26" fillId="0" borderId="2" xfId="0" applyNumberFormat="1" applyFont="1" applyBorder="1" applyAlignment="1">
      <alignment horizontal="center" vertical="center"/>
    </xf>
    <xf numFmtId="43" fontId="26" fillId="0" borderId="2" xfId="1" applyFont="1" applyBorder="1" applyAlignment="1">
      <alignment horizontal="center" vertical="center"/>
    </xf>
    <xf numFmtId="43" fontId="22" fillId="0" borderId="0" xfId="0" applyNumberFormat="1" applyFont="1"/>
    <xf numFmtId="0" fontId="29" fillId="7" borderId="2" xfId="0" applyFont="1" applyFill="1" applyBorder="1" applyAlignment="1">
      <alignment vertical="center" wrapText="1"/>
    </xf>
    <xf numFmtId="0" fontId="29" fillId="7" borderId="2" xfId="0" applyFont="1" applyFill="1" applyBorder="1" applyAlignment="1">
      <alignment horizontal="center" vertical="center" wrapText="1"/>
    </xf>
    <xf numFmtId="0" fontId="26" fillId="7" borderId="2" xfId="0" applyFont="1" applyFill="1" applyBorder="1" applyAlignment="1">
      <alignment horizontal="center" vertical="center" wrapText="1"/>
    </xf>
    <xf numFmtId="2" fontId="26" fillId="7" borderId="2" xfId="0" applyNumberFormat="1" applyFont="1" applyFill="1" applyBorder="1" applyAlignment="1">
      <alignment horizontal="center" vertical="center"/>
    </xf>
    <xf numFmtId="0" fontId="29" fillId="0" borderId="2" xfId="0" applyFont="1" applyBorder="1" applyAlignment="1">
      <alignment horizontal="justify" vertical="center" wrapText="1"/>
    </xf>
    <xf numFmtId="2" fontId="26" fillId="2" borderId="2" xfId="0" applyNumberFormat="1" applyFont="1" applyFill="1" applyBorder="1" applyAlignment="1">
      <alignment horizontal="center" vertical="center"/>
    </xf>
    <xf numFmtId="43" fontId="26" fillId="2" borderId="2" xfId="1" applyFont="1" applyFill="1" applyBorder="1" applyAlignment="1">
      <alignment horizontal="center" vertical="center"/>
    </xf>
    <xf numFmtId="0" fontId="29" fillId="7" borderId="2" xfId="0" applyFont="1" applyFill="1" applyBorder="1" applyAlignment="1">
      <alignment horizontal="justify" vertical="center" wrapText="1"/>
    </xf>
    <xf numFmtId="0" fontId="26" fillId="7" borderId="6" xfId="0" applyFont="1" applyFill="1" applyBorder="1" applyAlignment="1">
      <alignment horizontal="center" vertical="center" wrapText="1"/>
    </xf>
    <xf numFmtId="43" fontId="26" fillId="7" borderId="2" xfId="1" applyFont="1" applyFill="1" applyBorder="1" applyAlignment="1">
      <alignment horizontal="center" vertical="center"/>
    </xf>
    <xf numFmtId="0" fontId="26" fillId="0" borderId="2" xfId="0" applyFont="1" applyBorder="1" applyAlignment="1">
      <alignment horizontal="center" vertical="center" wrapText="1"/>
    </xf>
    <xf numFmtId="43" fontId="26" fillId="0" borderId="2" xfId="0" applyNumberFormat="1" applyFont="1" applyBorder="1"/>
    <xf numFmtId="0" fontId="31" fillId="2" borderId="2" xfId="0" applyFont="1" applyFill="1" applyBorder="1" applyAlignment="1">
      <alignment horizontal="center" vertical="center" wrapText="1"/>
    </xf>
    <xf numFmtId="0" fontId="31" fillId="2" borderId="2" xfId="0" applyFont="1" applyFill="1" applyBorder="1" applyAlignment="1">
      <alignment horizontal="center" wrapText="1"/>
    </xf>
    <xf numFmtId="0" fontId="31" fillId="2" borderId="2" xfId="0" applyFont="1" applyFill="1" applyBorder="1" applyAlignment="1">
      <alignment vertical="center" wrapText="1"/>
    </xf>
    <xf numFmtId="3" fontId="31" fillId="2" borderId="2" xfId="0" applyNumberFormat="1" applyFont="1" applyFill="1" applyBorder="1" applyAlignment="1">
      <alignment horizontal="center" vertical="center" wrapText="1"/>
    </xf>
    <xf numFmtId="167" fontId="21" fillId="2" borderId="2" xfId="1" applyNumberFormat="1" applyFont="1" applyFill="1" applyBorder="1" applyAlignment="1">
      <alignment horizontal="center" vertical="center"/>
    </xf>
    <xf numFmtId="167" fontId="21" fillId="2" borderId="2" xfId="1" applyNumberFormat="1" applyFont="1" applyFill="1" applyBorder="1"/>
    <xf numFmtId="0" fontId="31" fillId="2" borderId="2" xfId="0" applyFont="1" applyFill="1" applyBorder="1" applyAlignment="1">
      <alignment horizontal="justify" vertical="center" wrapText="1"/>
    </xf>
    <xf numFmtId="167" fontId="21" fillId="2" borderId="2" xfId="1" applyNumberFormat="1" applyFont="1" applyFill="1" applyBorder="1" applyAlignment="1">
      <alignment vertical="center"/>
    </xf>
    <xf numFmtId="0" fontId="21" fillId="2" borderId="2" xfId="0" applyFont="1" applyFill="1" applyBorder="1" applyAlignment="1">
      <alignment vertical="center" wrapText="1"/>
    </xf>
    <xf numFmtId="0" fontId="31" fillId="2" borderId="2" xfId="0" applyFont="1" applyFill="1" applyBorder="1" applyAlignment="1">
      <alignment horizontal="left" vertical="center" wrapText="1"/>
    </xf>
    <xf numFmtId="2" fontId="31" fillId="2" borderId="2" xfId="0" applyNumberFormat="1" applyFont="1" applyFill="1" applyBorder="1" applyAlignment="1">
      <alignment horizontal="center" vertical="center" wrapText="1"/>
    </xf>
    <xf numFmtId="43" fontId="21" fillId="2" borderId="2" xfId="1" applyFont="1" applyFill="1" applyBorder="1" applyAlignment="1">
      <alignment horizontal="center" vertical="center"/>
    </xf>
    <xf numFmtId="2" fontId="30" fillId="2" borderId="2" xfId="0" applyNumberFormat="1" applyFont="1" applyFill="1" applyBorder="1" applyAlignment="1">
      <alignment horizontal="center" vertical="center" wrapText="1"/>
    </xf>
    <xf numFmtId="167" fontId="24" fillId="0" borderId="2" xfId="0" applyNumberFormat="1" applyFont="1" applyBorder="1"/>
    <xf numFmtId="2" fontId="22" fillId="0" borderId="0" xfId="0" applyNumberFormat="1" applyFont="1"/>
    <xf numFmtId="2" fontId="21" fillId="0" borderId="0" xfId="0" applyNumberFormat="1" applyFont="1" applyAlignment="1">
      <alignment horizontal="center" vertical="center"/>
    </xf>
    <xf numFmtId="0" fontId="24" fillId="2" borderId="0" xfId="2" applyFont="1" applyFill="1" applyAlignment="1">
      <alignment wrapText="1"/>
    </xf>
    <xf numFmtId="0" fontId="21" fillId="2" borderId="0" xfId="2" applyFont="1" applyFill="1" applyAlignment="1">
      <alignment wrapText="1"/>
    </xf>
    <xf numFmtId="0" fontId="27" fillId="2" borderId="2" xfId="2" applyFont="1" applyFill="1" applyBorder="1" applyAlignment="1">
      <alignment horizontal="center" vertical="center" wrapText="1"/>
    </xf>
    <xf numFmtId="0" fontId="21" fillId="0" borderId="2" xfId="2" applyFont="1" applyFill="1" applyBorder="1" applyAlignment="1">
      <alignment vertical="center" wrapText="1"/>
    </xf>
    <xf numFmtId="0" fontId="24" fillId="0" borderId="2" xfId="2" applyFont="1" applyFill="1" applyBorder="1" applyAlignment="1">
      <alignment vertical="center" wrapText="1"/>
    </xf>
    <xf numFmtId="0" fontId="24" fillId="2" borderId="3" xfId="2" applyFont="1" applyFill="1" applyBorder="1" applyAlignment="1">
      <alignment horizontal="left" vertical="center" wrapText="1"/>
    </xf>
    <xf numFmtId="0" fontId="24" fillId="0" borderId="2" xfId="2" applyFont="1" applyFill="1" applyBorder="1" applyAlignment="1">
      <alignment wrapText="1"/>
    </xf>
    <xf numFmtId="0" fontId="24" fillId="0" borderId="4" xfId="2" applyFont="1" applyFill="1" applyBorder="1" applyAlignment="1">
      <alignment vertical="center" wrapText="1"/>
    </xf>
    <xf numFmtId="0" fontId="24" fillId="2" borderId="2" xfId="0" applyFont="1" applyFill="1" applyBorder="1" applyAlignment="1">
      <alignment horizontal="center" vertical="center" wrapText="1"/>
    </xf>
    <xf numFmtId="0" fontId="24" fillId="2" borderId="2" xfId="0" applyFont="1" applyFill="1" applyBorder="1" applyAlignment="1">
      <alignment vertical="center" wrapText="1"/>
    </xf>
    <xf numFmtId="43" fontId="21" fillId="0" borderId="0" xfId="1" applyFont="1"/>
    <xf numFmtId="43" fontId="21" fillId="0" borderId="0" xfId="0" applyNumberFormat="1" applyFont="1"/>
    <xf numFmtId="170" fontId="21" fillId="0" borderId="0" xfId="3" applyNumberFormat="1" applyFont="1"/>
    <xf numFmtId="0" fontId="21" fillId="2" borderId="3" xfId="2" applyFont="1" applyFill="1" applyBorder="1" applyAlignment="1">
      <alignment horizontal="center" vertical="center" wrapText="1"/>
    </xf>
    <xf numFmtId="0" fontId="35" fillId="0" borderId="0" xfId="0" applyFont="1"/>
    <xf numFmtId="0" fontId="24" fillId="2" borderId="2" xfId="2" applyFont="1" applyFill="1" applyBorder="1" applyAlignment="1">
      <alignment wrapText="1"/>
    </xf>
    <xf numFmtId="0" fontId="24" fillId="0" borderId="0" xfId="0" applyFont="1"/>
    <xf numFmtId="10" fontId="21" fillId="0" borderId="0" xfId="3" applyNumberFormat="1" applyFont="1"/>
    <xf numFmtId="171" fontId="21" fillId="0" borderId="0" xfId="0" applyNumberFormat="1" applyFont="1"/>
    <xf numFmtId="43" fontId="24" fillId="2" borderId="2" xfId="1" applyFont="1" applyFill="1" applyBorder="1" applyAlignment="1">
      <alignment horizontal="center" vertical="center"/>
    </xf>
    <xf numFmtId="43" fontId="24" fillId="0" borderId="3" xfId="1" applyFont="1" applyBorder="1" applyAlignment="1">
      <alignment horizontal="center" vertical="center"/>
    </xf>
    <xf numFmtId="0" fontId="21" fillId="2" borderId="0" xfId="0" applyFont="1" applyFill="1" applyAlignment="1">
      <alignment horizontal="center"/>
    </xf>
    <xf numFmtId="0" fontId="21" fillId="2" borderId="0" xfId="0" applyFont="1" applyFill="1"/>
    <xf numFmtId="0" fontId="21" fillId="2" borderId="0" xfId="0" applyFont="1" applyFill="1" applyAlignment="1">
      <alignment horizontal="center" vertical="center"/>
    </xf>
    <xf numFmtId="4" fontId="24" fillId="2" borderId="2" xfId="0" applyNumberFormat="1" applyFont="1" applyFill="1" applyBorder="1" applyAlignment="1">
      <alignment vertical="center" wrapText="1"/>
    </xf>
    <xf numFmtId="0" fontId="21" fillId="0" borderId="0" xfId="0" applyFont="1" applyAlignment="1">
      <alignment horizontal="center"/>
    </xf>
    <xf numFmtId="0" fontId="21" fillId="0" borderId="0" xfId="0" applyFont="1" applyAlignment="1">
      <alignment horizontal="center" vertical="center"/>
    </xf>
    <xf numFmtId="0" fontId="24" fillId="0" borderId="2" xfId="2" applyFont="1" applyFill="1" applyBorder="1" applyAlignment="1">
      <alignment horizontal="center" vertical="center" wrapText="1"/>
    </xf>
    <xf numFmtId="0" fontId="24" fillId="2" borderId="3" xfId="2" applyFont="1" applyFill="1" applyBorder="1" applyAlignment="1">
      <alignment horizontal="center" vertical="center" wrapText="1"/>
    </xf>
    <xf numFmtId="0" fontId="24" fillId="0" borderId="3" xfId="2" applyFont="1" applyFill="1" applyBorder="1" applyAlignment="1">
      <alignment vertical="center" wrapText="1"/>
    </xf>
    <xf numFmtId="0" fontId="24" fillId="2" borderId="3" xfId="2" applyFont="1" applyFill="1" applyBorder="1" applyAlignment="1">
      <alignment horizontal="left" vertical="center" wrapText="1"/>
    </xf>
    <xf numFmtId="0" fontId="24" fillId="2" borderId="4" xfId="2" applyFont="1" applyFill="1" applyBorder="1" applyAlignment="1">
      <alignment horizontal="left" vertical="center" wrapText="1"/>
    </xf>
    <xf numFmtId="0" fontId="24" fillId="2" borderId="2" xfId="2" applyFont="1" applyFill="1" applyBorder="1" applyAlignment="1">
      <alignment horizontal="center" vertical="center" wrapText="1"/>
    </xf>
    <xf numFmtId="10" fontId="24" fillId="2" borderId="2" xfId="2" applyNumberFormat="1" applyFont="1" applyFill="1" applyBorder="1" applyAlignment="1">
      <alignment horizontal="center" vertical="center" wrapText="1"/>
    </xf>
    <xf numFmtId="0" fontId="24" fillId="2" borderId="3" xfId="2" applyFont="1" applyFill="1" applyBorder="1" applyAlignment="1">
      <alignment vertical="center" wrapText="1"/>
    </xf>
    <xf numFmtId="0" fontId="24" fillId="2" borderId="4" xfId="2" applyFont="1" applyFill="1" applyBorder="1" applyAlignment="1">
      <alignment vertical="center" wrapText="1"/>
    </xf>
    <xf numFmtId="0" fontId="30" fillId="2" borderId="2" xfId="0" applyFont="1" applyFill="1" applyBorder="1" applyAlignment="1">
      <alignment horizontal="center" vertical="center" wrapText="1"/>
    </xf>
    <xf numFmtId="0" fontId="30" fillId="2" borderId="2" xfId="0" applyFont="1" applyFill="1" applyBorder="1" applyAlignment="1">
      <alignment horizontal="center" vertical="center"/>
    </xf>
    <xf numFmtId="169" fontId="30" fillId="2" borderId="2" xfId="0" applyNumberFormat="1" applyFont="1" applyFill="1" applyBorder="1" applyAlignment="1">
      <alignment horizontal="center" vertical="center" wrapText="1"/>
    </xf>
    <xf numFmtId="3" fontId="30" fillId="2" borderId="2" xfId="0" applyNumberFormat="1" applyFont="1" applyFill="1" applyBorder="1" applyAlignment="1">
      <alignment horizontal="center" vertical="center" wrapText="1"/>
    </xf>
    <xf numFmtId="0" fontId="32" fillId="0" borderId="0" xfId="0" applyFont="1"/>
    <xf numFmtId="2" fontId="30" fillId="11" borderId="2" xfId="0" applyNumberFormat="1" applyFont="1" applyFill="1" applyBorder="1" applyAlignment="1">
      <alignment horizontal="center" vertical="center" wrapText="1"/>
    </xf>
    <xf numFmtId="43" fontId="21" fillId="11" borderId="2" xfId="1" applyFont="1" applyFill="1" applyBorder="1" applyAlignment="1">
      <alignment horizontal="center" vertical="center"/>
    </xf>
    <xf numFmtId="14" fontId="41" fillId="0" borderId="0" xfId="2" applyNumberFormat="1" applyFont="1" applyFill="1" applyBorder="1" applyAlignment="1">
      <alignment vertical="center" wrapText="1"/>
    </xf>
    <xf numFmtId="0" fontId="40" fillId="2" borderId="2" xfId="2" applyFont="1" applyFill="1" applyBorder="1" applyAlignment="1">
      <alignment horizontal="center" vertical="center" wrapText="1"/>
    </xf>
    <xf numFmtId="0" fontId="40" fillId="0" borderId="2" xfId="2" applyFont="1" applyFill="1" applyBorder="1" applyAlignment="1">
      <alignment horizontal="center" vertical="center" wrapText="1"/>
    </xf>
    <xf numFmtId="0" fontId="40" fillId="0" borderId="3" xfId="2" applyFont="1" applyFill="1" applyBorder="1" applyAlignment="1">
      <alignment horizontal="center" vertical="center" wrapText="1"/>
    </xf>
    <xf numFmtId="0" fontId="44" fillId="2" borderId="17" xfId="2" applyFont="1" applyFill="1" applyBorder="1" applyAlignment="1">
      <alignment horizontal="left" vertical="center" wrapText="1"/>
    </xf>
    <xf numFmtId="0" fontId="51" fillId="2" borderId="18" xfId="2" applyFont="1" applyFill="1" applyBorder="1" applyAlignment="1">
      <alignment horizontal="left" vertical="center" wrapText="1"/>
    </xf>
    <xf numFmtId="0" fontId="47" fillId="2" borderId="2" xfId="2" applyFont="1" applyFill="1" applyBorder="1" applyAlignment="1">
      <alignment horizontal="center" vertical="center" wrapText="1"/>
    </xf>
    <xf numFmtId="0" fontId="44" fillId="2" borderId="17" xfId="2" applyFont="1" applyFill="1" applyBorder="1" applyAlignment="1">
      <alignment horizontal="center" vertical="center" wrapText="1"/>
    </xf>
    <xf numFmtId="0" fontId="51" fillId="2" borderId="18" xfId="2" applyFont="1" applyFill="1" applyBorder="1" applyAlignment="1">
      <alignment horizontal="center" vertical="center" wrapText="1"/>
    </xf>
    <xf numFmtId="0" fontId="42" fillId="0" borderId="3" xfId="2" applyFont="1" applyFill="1" applyBorder="1" applyAlignment="1">
      <alignment vertical="center" wrapText="1"/>
    </xf>
    <xf numFmtId="0" fontId="42" fillId="7" borderId="3" xfId="2" applyFont="1" applyFill="1" applyBorder="1" applyAlignment="1">
      <alignment vertical="center" wrapText="1"/>
    </xf>
    <xf numFmtId="0" fontId="44" fillId="7" borderId="17" xfId="2" applyFont="1" applyFill="1" applyBorder="1" applyAlignment="1">
      <alignment vertical="center" wrapText="1"/>
    </xf>
    <xf numFmtId="0" fontId="51" fillId="7" borderId="18" xfId="2" applyFont="1" applyFill="1" applyBorder="1" applyAlignment="1">
      <alignment vertical="center" wrapText="1"/>
    </xf>
    <xf numFmtId="0" fontId="40" fillId="2" borderId="3" xfId="2" applyFont="1" applyFill="1" applyBorder="1" applyAlignment="1">
      <alignment horizontal="center" vertical="center" wrapText="1"/>
    </xf>
    <xf numFmtId="0" fontId="44" fillId="2" borderId="18" xfId="2" applyFont="1" applyFill="1" applyBorder="1" applyAlignment="1">
      <alignment horizontal="center" vertical="center" wrapText="1"/>
    </xf>
    <xf numFmtId="4" fontId="40" fillId="2" borderId="3" xfId="2" applyNumberFormat="1" applyFont="1" applyFill="1" applyBorder="1" applyAlignment="1">
      <alignment horizontal="center" vertical="center" wrapText="1"/>
    </xf>
    <xf numFmtId="4" fontId="44" fillId="2" borderId="18" xfId="2" applyNumberFormat="1" applyFont="1" applyFill="1" applyBorder="1" applyAlignment="1">
      <alignment horizontal="center" vertical="center" wrapText="1"/>
    </xf>
    <xf numFmtId="4" fontId="42" fillId="2" borderId="3" xfId="2" applyNumberFormat="1" applyFont="1" applyFill="1" applyBorder="1" applyAlignment="1">
      <alignment horizontal="center" vertical="center" wrapText="1"/>
    </xf>
    <xf numFmtId="0" fontId="42" fillId="0" borderId="2" xfId="2" applyFont="1" applyFill="1" applyBorder="1" applyAlignment="1">
      <alignment horizontal="center" vertical="center" wrapText="1"/>
    </xf>
    <xf numFmtId="9" fontId="40" fillId="7" borderId="2" xfId="2" applyNumberFormat="1" applyFont="1" applyFill="1" applyBorder="1" applyAlignment="1">
      <alignment horizontal="center" vertical="center" wrapText="1"/>
    </xf>
    <xf numFmtId="4" fontId="40" fillId="7" borderId="3" xfId="2" applyNumberFormat="1" applyFont="1" applyFill="1" applyBorder="1" applyAlignment="1">
      <alignment horizontal="center" vertical="center" wrapText="1"/>
    </xf>
    <xf numFmtId="0" fontId="40" fillId="0" borderId="3" xfId="2" applyFont="1" applyFill="1" applyBorder="1" applyAlignment="1">
      <alignment vertical="center" wrapText="1"/>
    </xf>
    <xf numFmtId="0" fontId="40" fillId="7" borderId="2" xfId="2" applyFont="1" applyFill="1" applyBorder="1" applyAlignment="1">
      <alignment vertical="center" wrapText="1"/>
    </xf>
    <xf numFmtId="0" fontId="40" fillId="7" borderId="3" xfId="2" applyFont="1" applyFill="1" applyBorder="1" applyAlignment="1">
      <alignment vertical="center" wrapText="1"/>
    </xf>
    <xf numFmtId="0" fontId="44" fillId="7" borderId="18" xfId="2" applyFont="1" applyFill="1" applyBorder="1" applyAlignment="1">
      <alignment vertical="center" wrapText="1"/>
    </xf>
    <xf numFmtId="10" fontId="44" fillId="2" borderId="17" xfId="2" applyNumberFormat="1" applyFont="1" applyFill="1" applyBorder="1" applyAlignment="1">
      <alignment horizontal="center" vertical="center" wrapText="1"/>
    </xf>
    <xf numFmtId="0" fontId="40" fillId="9" borderId="2" xfId="2" applyFont="1" applyFill="1" applyBorder="1" applyAlignment="1">
      <alignment horizontal="center" vertical="center" wrapText="1"/>
    </xf>
    <xf numFmtId="4" fontId="42" fillId="9" borderId="3" xfId="2" applyNumberFormat="1" applyFont="1" applyFill="1" applyBorder="1" applyAlignment="1">
      <alignment horizontal="center" vertical="center" wrapText="1"/>
    </xf>
    <xf numFmtId="10" fontId="40" fillId="7" borderId="2" xfId="2" applyNumberFormat="1" applyFont="1" applyFill="1" applyBorder="1" applyAlignment="1">
      <alignment horizontal="center" vertical="center" wrapText="1"/>
    </xf>
    <xf numFmtId="10" fontId="44" fillId="7" borderId="17" xfId="2" applyNumberFormat="1" applyFont="1" applyFill="1" applyBorder="1" applyAlignment="1">
      <alignment horizontal="center" vertical="center" wrapText="1"/>
    </xf>
    <xf numFmtId="0" fontId="42" fillId="2" borderId="3" xfId="2" applyFont="1" applyFill="1" applyBorder="1" applyAlignment="1">
      <alignment horizontal="left" vertical="center" wrapText="1"/>
    </xf>
    <xf numFmtId="0" fontId="42" fillId="2" borderId="4" xfId="2" applyFont="1" applyFill="1" applyBorder="1" applyAlignment="1">
      <alignment horizontal="left" vertical="center" wrapText="1"/>
    </xf>
    <xf numFmtId="10" fontId="40" fillId="2" borderId="2" xfId="2" applyNumberFormat="1" applyFont="1" applyFill="1" applyBorder="1" applyAlignment="1">
      <alignment horizontal="center" vertical="center" wrapText="1"/>
    </xf>
    <xf numFmtId="4" fontId="42" fillId="2" borderId="3" xfId="2" applyNumberFormat="1" applyFont="1" applyFill="1" applyBorder="1" applyAlignment="1">
      <alignment horizontal="center" wrapText="1"/>
    </xf>
    <xf numFmtId="4" fontId="40" fillId="7" borderId="3" xfId="2" applyNumberFormat="1" applyFont="1" applyFill="1" applyBorder="1" applyAlignment="1">
      <alignment horizontal="center" wrapText="1"/>
    </xf>
    <xf numFmtId="0" fontId="44" fillId="2" borderId="18" xfId="2" applyFont="1" applyFill="1" applyBorder="1" applyAlignment="1">
      <alignment horizontal="left" vertical="center" wrapText="1"/>
    </xf>
    <xf numFmtId="0" fontId="40" fillId="2" borderId="4" xfId="2" applyFont="1" applyFill="1" applyBorder="1" applyAlignment="1">
      <alignment horizontal="left" vertical="center" wrapText="1"/>
    </xf>
    <xf numFmtId="10" fontId="40" fillId="2" borderId="4" xfId="2" applyNumberFormat="1" applyFont="1" applyFill="1" applyBorder="1" applyAlignment="1">
      <alignment horizontal="center" vertical="center" wrapText="1"/>
    </xf>
    <xf numFmtId="0" fontId="40" fillId="2" borderId="4" xfId="2" applyFont="1" applyFill="1" applyBorder="1" applyAlignment="1">
      <alignment horizontal="center" vertical="center" wrapText="1"/>
    </xf>
    <xf numFmtId="4" fontId="44" fillId="2" borderId="17" xfId="2" applyNumberFormat="1" applyFont="1" applyFill="1" applyBorder="1" applyAlignment="1">
      <alignment horizontal="center" vertical="center" wrapText="1"/>
    </xf>
    <xf numFmtId="4" fontId="44" fillId="7" borderId="17" xfId="2" applyNumberFormat="1" applyFont="1" applyFill="1" applyBorder="1" applyAlignment="1">
      <alignment horizontal="center" vertical="center" wrapText="1"/>
    </xf>
    <xf numFmtId="0" fontId="40" fillId="0" borderId="3" xfId="2" applyFont="1" applyFill="1" applyBorder="1" applyAlignment="1">
      <alignment wrapText="1"/>
    </xf>
    <xf numFmtId="10" fontId="40" fillId="7" borderId="2" xfId="2" applyNumberFormat="1" applyFont="1" applyFill="1" applyBorder="1" applyAlignment="1">
      <alignment horizontal="center" wrapText="1"/>
    </xf>
    <xf numFmtId="0" fontId="40" fillId="2" borderId="3" xfId="2" applyFont="1" applyFill="1" applyBorder="1" applyAlignment="1">
      <alignment vertical="center" wrapText="1"/>
    </xf>
    <xf numFmtId="0" fontId="40" fillId="2" borderId="4" xfId="2" applyFont="1" applyFill="1" applyBorder="1" applyAlignment="1">
      <alignment vertical="center" wrapText="1"/>
    </xf>
    <xf numFmtId="0" fontId="42" fillId="2" borderId="2" xfId="2" applyFont="1" applyFill="1" applyBorder="1" applyAlignment="1">
      <alignment wrapText="1"/>
    </xf>
    <xf numFmtId="4" fontId="42" fillId="7" borderId="3" xfId="2" applyNumberFormat="1" applyFont="1" applyFill="1" applyBorder="1" applyAlignment="1">
      <alignment horizontal="center" vertical="center" wrapText="1"/>
    </xf>
    <xf numFmtId="0" fontId="44" fillId="7" borderId="17" xfId="2" applyFont="1" applyFill="1" applyBorder="1" applyAlignment="1">
      <alignment wrapText="1"/>
    </xf>
    <xf numFmtId="4" fontId="51" fillId="7" borderId="18" xfId="2" applyNumberFormat="1" applyFont="1" applyFill="1" applyBorder="1" applyAlignment="1">
      <alignment horizontal="center" vertical="center" wrapText="1"/>
    </xf>
    <xf numFmtId="4" fontId="40" fillId="2" borderId="4" xfId="2" applyNumberFormat="1" applyFont="1" applyFill="1" applyBorder="1" applyAlignment="1">
      <alignment horizontal="center" vertical="center" wrapText="1"/>
    </xf>
    <xf numFmtId="4" fontId="40" fillId="2" borderId="3" xfId="2" applyNumberFormat="1" applyFont="1" applyFill="1" applyBorder="1" applyAlignment="1">
      <alignment horizontal="center" wrapText="1"/>
    </xf>
    <xf numFmtId="4" fontId="40" fillId="7" borderId="12" xfId="2" applyNumberFormat="1" applyFont="1" applyFill="1" applyBorder="1" applyAlignment="1">
      <alignment horizontal="center" vertical="center" wrapText="1"/>
    </xf>
    <xf numFmtId="0" fontId="42" fillId="2" borderId="2" xfId="2" applyFont="1" applyFill="1" applyBorder="1" applyAlignment="1">
      <alignment horizontal="center" vertical="center" wrapText="1"/>
    </xf>
    <xf numFmtId="167" fontId="40" fillId="2" borderId="3" xfId="2" applyNumberFormat="1" applyFont="1" applyFill="1" applyBorder="1" applyAlignment="1">
      <alignment horizontal="center" vertical="center" wrapText="1"/>
    </xf>
    <xf numFmtId="167" fontId="44" fillId="2" borderId="17" xfId="2" applyNumberFormat="1" applyFont="1" applyFill="1" applyBorder="1" applyAlignment="1">
      <alignment horizontal="center" vertical="center" wrapText="1"/>
    </xf>
    <xf numFmtId="0" fontId="40" fillId="2" borderId="3" xfId="0" applyFont="1" applyFill="1" applyBorder="1" applyAlignment="1">
      <alignment vertical="center" wrapText="1"/>
    </xf>
    <xf numFmtId="0" fontId="46" fillId="2" borderId="2" xfId="0" applyFont="1" applyFill="1" applyBorder="1" applyAlignment="1">
      <alignment horizontal="center" vertical="center" wrapText="1"/>
    </xf>
    <xf numFmtId="0" fontId="40" fillId="0" borderId="3" xfId="0" applyFont="1" applyFill="1" applyBorder="1" applyAlignment="1">
      <alignment vertical="center" wrapText="1"/>
    </xf>
    <xf numFmtId="167" fontId="49" fillId="7" borderId="3" xfId="2" applyNumberFormat="1" applyFont="1" applyFill="1" applyBorder="1" applyAlignment="1">
      <alignment horizontal="center" vertical="center" wrapText="1"/>
    </xf>
    <xf numFmtId="167" fontId="44" fillId="7" borderId="19" xfId="2" applyNumberFormat="1" applyFont="1" applyFill="1" applyBorder="1" applyAlignment="1">
      <alignment horizontal="center" vertical="center" wrapText="1"/>
    </xf>
    <xf numFmtId="0" fontId="42" fillId="0" borderId="0" xfId="0" applyFont="1"/>
    <xf numFmtId="0" fontId="40" fillId="0" borderId="0" xfId="0" applyFont="1"/>
    <xf numFmtId="0" fontId="46" fillId="2" borderId="17" xfId="2" applyFont="1" applyFill="1" applyBorder="1" applyAlignment="1">
      <alignment horizontal="center" vertical="center" wrapText="1"/>
    </xf>
    <xf numFmtId="0" fontId="46" fillId="2" borderId="18" xfId="2" applyFont="1" applyFill="1" applyBorder="1" applyAlignment="1">
      <alignment horizontal="center" vertical="center" wrapText="1"/>
    </xf>
    <xf numFmtId="9" fontId="46" fillId="2" borderId="17" xfId="2" applyNumberFormat="1" applyFont="1" applyFill="1" applyBorder="1" applyAlignment="1">
      <alignment horizontal="center" vertical="center" wrapText="1"/>
    </xf>
    <xf numFmtId="4" fontId="46" fillId="2" borderId="18" xfId="2" applyNumberFormat="1" applyFont="1" applyFill="1" applyBorder="1" applyAlignment="1">
      <alignment horizontal="center" vertical="center" wrapText="1"/>
    </xf>
    <xf numFmtId="4" fontId="45" fillId="2" borderId="18" xfId="2" applyNumberFormat="1" applyFont="1" applyFill="1" applyBorder="1" applyAlignment="1">
      <alignment horizontal="center" vertical="center" wrapText="1"/>
    </xf>
    <xf numFmtId="9" fontId="46" fillId="7" borderId="17" xfId="2" applyNumberFormat="1" applyFont="1" applyFill="1" applyBorder="1" applyAlignment="1">
      <alignment horizontal="center" vertical="center" wrapText="1"/>
    </xf>
    <xf numFmtId="4" fontId="46" fillId="7" borderId="18" xfId="2" applyNumberFormat="1" applyFont="1" applyFill="1" applyBorder="1" applyAlignment="1">
      <alignment horizontal="center" vertical="center" wrapText="1"/>
    </xf>
    <xf numFmtId="10" fontId="46" fillId="2" borderId="17" xfId="2" applyNumberFormat="1" applyFont="1" applyFill="1" applyBorder="1" applyAlignment="1">
      <alignment horizontal="center" vertical="center" wrapText="1"/>
    </xf>
    <xf numFmtId="10" fontId="46" fillId="9" borderId="17" xfId="2" applyNumberFormat="1" applyFont="1" applyFill="1" applyBorder="1" applyAlignment="1">
      <alignment horizontal="center" vertical="center" wrapText="1"/>
    </xf>
    <xf numFmtId="4" fontId="45" fillId="9" borderId="18" xfId="2" applyNumberFormat="1" applyFont="1" applyFill="1" applyBorder="1" applyAlignment="1">
      <alignment horizontal="center" vertical="center" wrapText="1"/>
    </xf>
    <xf numFmtId="10" fontId="46" fillId="7" borderId="17" xfId="2" applyNumberFormat="1" applyFont="1" applyFill="1" applyBorder="1" applyAlignment="1">
      <alignment horizontal="center" vertical="center" wrapText="1"/>
    </xf>
    <xf numFmtId="4" fontId="45" fillId="2" borderId="18" xfId="2" applyNumberFormat="1" applyFont="1" applyFill="1" applyBorder="1" applyAlignment="1">
      <alignment horizontal="center" wrapText="1"/>
    </xf>
    <xf numFmtId="4" fontId="46" fillId="7" borderId="18" xfId="2" applyNumberFormat="1" applyFont="1" applyFill="1" applyBorder="1" applyAlignment="1">
      <alignment horizontal="center" wrapText="1"/>
    </xf>
    <xf numFmtId="168" fontId="46" fillId="2" borderId="17" xfId="2" applyNumberFormat="1" applyFont="1" applyFill="1" applyBorder="1" applyAlignment="1">
      <alignment horizontal="center" vertical="center" wrapText="1"/>
    </xf>
    <xf numFmtId="10" fontId="46" fillId="7" borderId="17" xfId="2" applyNumberFormat="1" applyFont="1" applyFill="1" applyBorder="1" applyAlignment="1">
      <alignment horizontal="center" wrapText="1"/>
    </xf>
    <xf numFmtId="168" fontId="46" fillId="2" borderId="17" xfId="1" applyNumberFormat="1" applyFont="1" applyFill="1" applyBorder="1" applyAlignment="1">
      <alignment horizontal="center" vertical="center" wrapText="1"/>
    </xf>
    <xf numFmtId="0" fontId="40" fillId="2" borderId="2" xfId="2" applyFont="1" applyFill="1" applyBorder="1" applyAlignment="1">
      <alignment horizontal="center" wrapText="1"/>
    </xf>
    <xf numFmtId="4" fontId="46" fillId="2" borderId="18" xfId="2" applyNumberFormat="1" applyFont="1" applyFill="1" applyBorder="1" applyAlignment="1">
      <alignment horizontal="center" wrapText="1"/>
    </xf>
    <xf numFmtId="167" fontId="46" fillId="2" borderId="18" xfId="2" applyNumberFormat="1" applyFont="1" applyFill="1" applyBorder="1" applyAlignment="1">
      <alignment horizontal="center" vertical="center" wrapText="1"/>
    </xf>
    <xf numFmtId="167" fontId="56" fillId="7" borderId="21" xfId="2" applyNumberFormat="1" applyFont="1" applyFill="1" applyBorder="1" applyAlignment="1">
      <alignment horizontal="center" vertical="center" wrapText="1"/>
    </xf>
    <xf numFmtId="0" fontId="24" fillId="7" borderId="4" xfId="2" applyFont="1" applyFill="1" applyBorder="1" applyAlignment="1">
      <alignment vertical="center" wrapText="1"/>
    </xf>
    <xf numFmtId="9" fontId="27" fillId="2" borderId="2" xfId="2" applyNumberFormat="1" applyFont="1" applyFill="1" applyBorder="1" applyAlignment="1">
      <alignment horizontal="center" vertical="center" wrapText="1"/>
    </xf>
    <xf numFmtId="9" fontId="24" fillId="2" borderId="2" xfId="2" applyNumberFormat="1" applyFont="1" applyFill="1" applyBorder="1" applyAlignment="1">
      <alignment horizontal="center" vertical="center" wrapText="1"/>
    </xf>
    <xf numFmtId="168" fontId="24" fillId="2" borderId="2" xfId="2" applyNumberFormat="1" applyFont="1" applyFill="1" applyBorder="1" applyAlignment="1">
      <alignment horizontal="center" vertical="center" wrapText="1"/>
    </xf>
    <xf numFmtId="168" fontId="24" fillId="8" borderId="2" xfId="2" applyNumberFormat="1" applyFont="1" applyFill="1" applyBorder="1" applyAlignment="1">
      <alignment horizontal="center" vertical="center" wrapText="1"/>
    </xf>
    <xf numFmtId="168" fontId="24" fillId="2" borderId="3" xfId="2" applyNumberFormat="1" applyFont="1" applyFill="1" applyBorder="1" applyAlignment="1">
      <alignment horizontal="center" vertical="center" wrapText="1"/>
    </xf>
    <xf numFmtId="168" fontId="24" fillId="2" borderId="2" xfId="1" applyNumberFormat="1" applyFont="1" applyFill="1" applyBorder="1" applyAlignment="1">
      <alignment horizontal="center" vertical="center" wrapText="1"/>
    </xf>
    <xf numFmtId="9" fontId="40" fillId="2" borderId="2" xfId="2" applyNumberFormat="1" applyFont="1" applyFill="1" applyBorder="1" applyAlignment="1">
      <alignment horizontal="center" vertical="center" wrapText="1"/>
    </xf>
    <xf numFmtId="10" fontId="40" fillId="9" borderId="2" xfId="2" applyNumberFormat="1" applyFont="1" applyFill="1" applyBorder="1" applyAlignment="1">
      <alignment horizontal="center" vertical="center" wrapText="1"/>
    </xf>
    <xf numFmtId="168" fontId="40" fillId="2" borderId="2" xfId="2" applyNumberFormat="1" applyFont="1" applyFill="1" applyBorder="1" applyAlignment="1">
      <alignment horizontal="center" vertical="center" wrapText="1"/>
    </xf>
    <xf numFmtId="168" fontId="40" fillId="2" borderId="3" xfId="2" applyNumberFormat="1" applyFont="1" applyFill="1" applyBorder="1" applyAlignment="1">
      <alignment horizontal="center" vertical="center" wrapText="1"/>
    </xf>
    <xf numFmtId="168" fontId="40" fillId="2" borderId="2" xfId="1" applyNumberFormat="1" applyFont="1" applyFill="1" applyBorder="1" applyAlignment="1">
      <alignment horizontal="center" vertical="center" wrapText="1"/>
    </xf>
    <xf numFmtId="0" fontId="40" fillId="7" borderId="2" xfId="2" applyFont="1" applyFill="1" applyBorder="1" applyAlignment="1">
      <alignment wrapText="1"/>
    </xf>
    <xf numFmtId="0" fontId="55" fillId="3" borderId="2" xfId="0" applyFont="1" applyFill="1" applyBorder="1" applyAlignment="1">
      <alignment horizontal="center" vertical="center" wrapText="1"/>
    </xf>
    <xf numFmtId="0" fontId="62" fillId="0" borderId="2" xfId="0" applyFont="1" applyBorder="1" applyAlignment="1">
      <alignment horizontal="center" vertical="center" wrapText="1"/>
    </xf>
    <xf numFmtId="0" fontId="62" fillId="0" borderId="2" xfId="0" applyFont="1" applyBorder="1" applyAlignment="1">
      <alignment horizontal="left" vertical="center" wrapText="1"/>
    </xf>
    <xf numFmtId="4" fontId="62" fillId="0" borderId="2" xfId="1" applyNumberFormat="1" applyFont="1" applyBorder="1" applyAlignment="1">
      <alignment vertical="center" wrapText="1"/>
    </xf>
    <xf numFmtId="1" fontId="62" fillId="0" borderId="2" xfId="0" applyNumberFormat="1" applyFont="1" applyBorder="1" applyAlignment="1">
      <alignment horizontal="center" vertical="center" wrapText="1"/>
    </xf>
    <xf numFmtId="0" fontId="62" fillId="0" borderId="2" xfId="0" applyNumberFormat="1" applyFont="1" applyBorder="1" applyAlignment="1">
      <alignment vertical="center" wrapText="1"/>
    </xf>
    <xf numFmtId="0" fontId="62" fillId="0" borderId="2" xfId="0" applyFont="1" applyBorder="1" applyAlignment="1">
      <alignment vertical="center" wrapText="1"/>
    </xf>
    <xf numFmtId="0" fontId="62" fillId="0" borderId="2"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26" fillId="0" borderId="2" xfId="0" applyFont="1" applyBorder="1" applyAlignment="1">
      <alignment horizontal="left" vertical="center"/>
    </xf>
    <xf numFmtId="1" fontId="55" fillId="3" borderId="2" xfId="0" applyNumberFormat="1" applyFont="1" applyFill="1" applyBorder="1" applyAlignment="1">
      <alignment horizontal="center" vertical="center" wrapText="1"/>
    </xf>
    <xf numFmtId="4" fontId="55" fillId="3" borderId="2" xfId="1" applyNumberFormat="1" applyFont="1" applyFill="1" applyBorder="1" applyAlignment="1">
      <alignment vertical="center" wrapText="1"/>
    </xf>
    <xf numFmtId="0" fontId="55" fillId="0" borderId="2" xfId="0" applyFont="1" applyBorder="1" applyAlignment="1">
      <alignment horizontal="center" vertical="center" wrapText="1"/>
    </xf>
    <xf numFmtId="4" fontId="55" fillId="0" borderId="2" xfId="1" applyNumberFormat="1" applyFont="1" applyBorder="1" applyAlignment="1">
      <alignment vertical="center" wrapText="1"/>
    </xf>
    <xf numFmtId="0" fontId="26" fillId="0" borderId="0" xfId="0" applyFont="1"/>
    <xf numFmtId="0" fontId="23" fillId="3" borderId="15" xfId="0" applyFont="1" applyFill="1" applyBorder="1" applyAlignment="1">
      <alignment horizontal="center" vertical="center"/>
    </xf>
    <xf numFmtId="4" fontId="23" fillId="0" borderId="2" xfId="0" applyNumberFormat="1" applyFont="1" applyBorder="1" applyAlignment="1">
      <alignment horizontal="center" vertical="center"/>
    </xf>
    <xf numFmtId="0" fontId="23" fillId="7" borderId="2" xfId="2" applyFont="1" applyFill="1" applyBorder="1" applyAlignment="1">
      <alignment vertical="center" wrapText="1"/>
    </xf>
    <xf numFmtId="0" fontId="23" fillId="2" borderId="2" xfId="2" applyFont="1" applyFill="1" applyBorder="1" applyAlignment="1">
      <alignment horizontal="center" vertical="center" wrapText="1"/>
    </xf>
    <xf numFmtId="9" fontId="23" fillId="0" borderId="2" xfId="2" applyNumberFormat="1" applyFont="1" applyFill="1" applyBorder="1" applyAlignment="1">
      <alignment horizontal="center" vertical="center" wrapText="1"/>
    </xf>
    <xf numFmtId="9" fontId="23" fillId="2" borderId="2" xfId="2" applyNumberFormat="1" applyFont="1" applyFill="1" applyBorder="1" applyAlignment="1">
      <alignment horizontal="center" vertical="center" wrapText="1"/>
    </xf>
    <xf numFmtId="9" fontId="23" fillId="7" borderId="2" xfId="2" applyNumberFormat="1" applyFont="1" applyFill="1" applyBorder="1" applyAlignment="1">
      <alignment horizontal="center" vertical="center" wrapText="1"/>
    </xf>
    <xf numFmtId="10" fontId="23" fillId="2" borderId="2" xfId="2" applyNumberFormat="1" applyFont="1" applyFill="1" applyBorder="1" applyAlignment="1">
      <alignment horizontal="center" vertical="center" wrapText="1"/>
    </xf>
    <xf numFmtId="10" fontId="23" fillId="7" borderId="2" xfId="2" applyNumberFormat="1" applyFont="1" applyFill="1" applyBorder="1" applyAlignment="1">
      <alignment horizontal="center" vertical="center" wrapText="1"/>
    </xf>
    <xf numFmtId="0" fontId="23" fillId="2" borderId="4" xfId="2" applyFont="1" applyFill="1" applyBorder="1" applyAlignment="1">
      <alignment horizontal="left" vertical="center" wrapText="1"/>
    </xf>
    <xf numFmtId="10" fontId="23" fillId="2" borderId="4" xfId="2" applyNumberFormat="1" applyFont="1" applyFill="1" applyBorder="1" applyAlignment="1">
      <alignment horizontal="center" vertical="center" wrapText="1"/>
    </xf>
    <xf numFmtId="168" fontId="23" fillId="2" borderId="2" xfId="2" applyNumberFormat="1" applyFont="1" applyFill="1" applyBorder="1" applyAlignment="1">
      <alignment horizontal="center" vertical="center" wrapText="1"/>
    </xf>
    <xf numFmtId="0" fontId="23" fillId="2" borderId="4" xfId="2" applyFont="1" applyFill="1" applyBorder="1" applyAlignment="1">
      <alignment vertical="center" wrapText="1"/>
    </xf>
    <xf numFmtId="168" fontId="23" fillId="2" borderId="3" xfId="2" applyNumberFormat="1" applyFont="1" applyFill="1" applyBorder="1" applyAlignment="1">
      <alignment horizontal="center" vertical="center" wrapText="1"/>
    </xf>
    <xf numFmtId="168" fontId="23" fillId="2" borderId="2" xfId="1" applyNumberFormat="1" applyFont="1" applyFill="1" applyBorder="1" applyAlignment="1">
      <alignment horizontal="center" vertical="center" wrapText="1"/>
    </xf>
    <xf numFmtId="0" fontId="23" fillId="2" borderId="2" xfId="2" applyFont="1" applyFill="1" applyBorder="1" applyAlignment="1">
      <alignment wrapText="1"/>
    </xf>
    <xf numFmtId="0" fontId="23" fillId="7" borderId="2" xfId="2" applyFont="1" applyFill="1" applyBorder="1" applyAlignment="1">
      <alignment wrapText="1"/>
    </xf>
    <xf numFmtId="0" fontId="23" fillId="0" borderId="0" xfId="0" applyFont="1"/>
    <xf numFmtId="10" fontId="23" fillId="2" borderId="4" xfId="2" applyNumberFormat="1" applyFont="1" applyFill="1" applyBorder="1" applyAlignment="1">
      <alignment horizontal="center" wrapText="1"/>
    </xf>
    <xf numFmtId="10" fontId="23" fillId="7" borderId="2" xfId="2" applyNumberFormat="1" applyFont="1" applyFill="1" applyBorder="1" applyAlignment="1">
      <alignment horizontal="center" wrapText="1"/>
    </xf>
    <xf numFmtId="4" fontId="23" fillId="2" borderId="2" xfId="0" applyNumberFormat="1" applyFont="1" applyFill="1" applyBorder="1" applyAlignment="1">
      <alignment vertical="center" wrapText="1"/>
    </xf>
    <xf numFmtId="0" fontId="39" fillId="0" borderId="0" xfId="0" applyFont="1"/>
    <xf numFmtId="0" fontId="24" fillId="2" borderId="2" xfId="2" applyFont="1" applyFill="1" applyBorder="1" applyAlignment="1">
      <alignment horizontal="center" vertical="center" wrapText="1"/>
    </xf>
    <xf numFmtId="10" fontId="24" fillId="2" borderId="2" xfId="2" applyNumberFormat="1" applyFont="1" applyFill="1" applyBorder="1" applyAlignment="1">
      <alignment horizontal="center" vertical="center" wrapText="1"/>
    </xf>
    <xf numFmtId="0" fontId="24" fillId="2" borderId="4" xfId="2" applyFont="1" applyFill="1" applyBorder="1" applyAlignment="1">
      <alignment horizontal="left" vertical="center" wrapText="1"/>
    </xf>
    <xf numFmtId="0" fontId="24" fillId="2" borderId="4" xfId="2" applyFont="1" applyFill="1" applyBorder="1" applyAlignment="1">
      <alignment vertical="center" wrapText="1"/>
    </xf>
    <xf numFmtId="0" fontId="21" fillId="2" borderId="4" xfId="2" applyFont="1" applyFill="1" applyBorder="1" applyAlignment="1">
      <alignment horizontal="left" vertical="center" wrapText="1"/>
    </xf>
    <xf numFmtId="0" fontId="53" fillId="0" borderId="3" xfId="2" applyFont="1" applyFill="1" applyBorder="1" applyAlignment="1">
      <alignment horizontal="center" vertical="center" wrapText="1"/>
    </xf>
    <xf numFmtId="0" fontId="21" fillId="2" borderId="4" xfId="2" applyFont="1" applyFill="1" applyBorder="1" applyAlignment="1">
      <alignment vertical="center" wrapText="1"/>
    </xf>
    <xf numFmtId="0" fontId="21" fillId="2" borderId="3" xfId="2" applyFont="1" applyFill="1" applyBorder="1" applyAlignment="1">
      <alignment horizontal="center" vertical="center" wrapText="1"/>
    </xf>
    <xf numFmtId="0" fontId="24" fillId="2" borderId="3" xfId="2" applyFont="1" applyFill="1" applyBorder="1" applyAlignment="1">
      <alignment horizontal="center" vertical="center" wrapText="1"/>
    </xf>
    <xf numFmtId="0" fontId="24" fillId="2" borderId="4" xfId="2" applyFont="1" applyFill="1" applyBorder="1" applyAlignment="1">
      <alignment horizontal="center" vertical="center" wrapText="1"/>
    </xf>
    <xf numFmtId="0" fontId="24" fillId="0" borderId="0" xfId="2" applyFont="1" applyAlignment="1">
      <alignment horizontal="center" vertical="center" wrapText="1"/>
    </xf>
    <xf numFmtId="0" fontId="23" fillId="2" borderId="3" xfId="2" applyFont="1" applyFill="1" applyBorder="1" applyAlignment="1">
      <alignment horizontal="center" vertical="center" wrapText="1"/>
    </xf>
    <xf numFmtId="0" fontId="24" fillId="2" borderId="4" xfId="2" applyFont="1" applyFill="1" applyBorder="1" applyAlignment="1">
      <alignment vertical="center" wrapText="1"/>
    </xf>
    <xf numFmtId="0" fontId="21" fillId="7" borderId="3" xfId="2" applyFont="1" applyFill="1" applyBorder="1" applyAlignment="1">
      <alignment vertical="center" wrapText="1"/>
    </xf>
    <xf numFmtId="4" fontId="24" fillId="7" borderId="3" xfId="2" applyNumberFormat="1" applyFont="1" applyFill="1" applyBorder="1" applyAlignment="1">
      <alignment horizontal="center" vertical="center" wrapText="1"/>
    </xf>
    <xf numFmtId="4" fontId="34" fillId="2" borderId="3" xfId="2" applyNumberFormat="1" applyFont="1" applyFill="1" applyBorder="1" applyAlignment="1">
      <alignment horizontal="center" vertical="center" wrapText="1"/>
    </xf>
    <xf numFmtId="4" fontId="21" fillId="2" borderId="3" xfId="2" applyNumberFormat="1" applyFont="1" applyFill="1" applyBorder="1" applyAlignment="1">
      <alignment horizontal="center" vertical="center" wrapText="1"/>
    </xf>
    <xf numFmtId="0" fontId="24" fillId="7" borderId="3" xfId="2" applyFont="1" applyFill="1" applyBorder="1" applyAlignment="1">
      <alignment vertical="center" wrapText="1"/>
    </xf>
    <xf numFmtId="4" fontId="21" fillId="2" borderId="3" xfId="2" applyNumberFormat="1" applyFont="1" applyFill="1" applyBorder="1" applyAlignment="1">
      <alignment horizontal="center" wrapText="1"/>
    </xf>
    <xf numFmtId="4" fontId="24" fillId="7" borderId="3" xfId="2" applyNumberFormat="1" applyFont="1" applyFill="1" applyBorder="1" applyAlignment="1">
      <alignment horizontal="center" wrapText="1"/>
    </xf>
    <xf numFmtId="4" fontId="21" fillId="8" borderId="3" xfId="2" applyNumberFormat="1" applyFont="1" applyFill="1" applyBorder="1" applyAlignment="1">
      <alignment horizontal="center" vertical="center" wrapText="1"/>
    </xf>
    <xf numFmtId="4" fontId="21" fillId="7" borderId="3" xfId="2" applyNumberFormat="1" applyFont="1" applyFill="1" applyBorder="1" applyAlignment="1">
      <alignment horizontal="center" vertical="center" wrapText="1"/>
    </xf>
    <xf numFmtId="4" fontId="24" fillId="2" borderId="3" xfId="2" applyNumberFormat="1" applyFont="1" applyFill="1" applyBorder="1" applyAlignment="1">
      <alignment horizontal="right" wrapText="1"/>
    </xf>
    <xf numFmtId="4" fontId="24" fillId="2" borderId="4" xfId="2" applyNumberFormat="1" applyFont="1" applyFill="1" applyBorder="1" applyAlignment="1">
      <alignment horizontal="center" vertical="center" wrapText="1"/>
    </xf>
    <xf numFmtId="4" fontId="24" fillId="2" borderId="3" xfId="2" applyNumberFormat="1" applyFont="1" applyFill="1" applyBorder="1" applyAlignment="1">
      <alignment horizontal="center" vertical="center" wrapText="1"/>
    </xf>
    <xf numFmtId="4" fontId="24" fillId="2" borderId="4" xfId="2" applyNumberFormat="1" applyFont="1" applyFill="1" applyBorder="1" applyAlignment="1">
      <alignment horizontal="right" wrapText="1"/>
    </xf>
    <xf numFmtId="4" fontId="24" fillId="2" borderId="3" xfId="2" applyNumberFormat="1" applyFont="1" applyFill="1" applyBorder="1" applyAlignment="1">
      <alignment horizontal="center" wrapText="1"/>
    </xf>
    <xf numFmtId="4" fontId="24" fillId="7" borderId="12" xfId="2" applyNumberFormat="1" applyFont="1" applyFill="1" applyBorder="1" applyAlignment="1">
      <alignment horizontal="center" vertical="center" wrapText="1"/>
    </xf>
    <xf numFmtId="167" fontId="24" fillId="2" borderId="3" xfId="2" applyNumberFormat="1" applyFont="1" applyFill="1" applyBorder="1" applyAlignment="1">
      <alignment horizontal="center" vertical="center" wrapText="1"/>
    </xf>
    <xf numFmtId="4" fontId="24" fillId="4" borderId="3" xfId="2" applyNumberFormat="1" applyFont="1" applyFill="1" applyBorder="1" applyAlignment="1">
      <alignment horizontal="center" vertical="center" wrapText="1"/>
    </xf>
    <xf numFmtId="4" fontId="24" fillId="0" borderId="3" xfId="2" applyNumberFormat="1" applyFont="1" applyFill="1" applyBorder="1" applyAlignment="1">
      <alignment horizontal="center" vertical="center" wrapText="1"/>
    </xf>
    <xf numFmtId="0" fontId="35" fillId="0" borderId="0" xfId="0" applyFont="1" applyBorder="1"/>
    <xf numFmtId="0" fontId="21" fillId="2" borderId="4" xfId="2" applyFont="1" applyFill="1" applyBorder="1" applyAlignment="1">
      <alignment horizontal="left" vertical="center" wrapText="1"/>
    </xf>
    <xf numFmtId="0" fontId="24" fillId="2" borderId="3" xfId="2" applyFont="1" applyFill="1" applyBorder="1" applyAlignment="1">
      <alignment horizontal="center" vertical="center" wrapText="1"/>
    </xf>
    <xf numFmtId="0" fontId="24" fillId="2" borderId="4" xfId="2" applyFont="1" applyFill="1" applyBorder="1" applyAlignment="1">
      <alignment horizontal="center" vertical="center" wrapText="1"/>
    </xf>
    <xf numFmtId="10" fontId="24" fillId="2" borderId="2" xfId="2" applyNumberFormat="1" applyFont="1" applyFill="1" applyBorder="1" applyAlignment="1">
      <alignment horizontal="center" vertical="center" wrapText="1"/>
    </xf>
    <xf numFmtId="0" fontId="24" fillId="2" borderId="4" xfId="2" applyFont="1" applyFill="1" applyBorder="1" applyAlignment="1">
      <alignment vertical="center" wrapText="1"/>
    </xf>
    <xf numFmtId="0" fontId="24" fillId="2" borderId="3" xfId="2" applyFont="1" applyFill="1" applyBorder="1" applyAlignment="1">
      <alignment horizontal="center" vertical="center" wrapText="1"/>
    </xf>
    <xf numFmtId="0" fontId="24" fillId="2" borderId="2" xfId="2" applyFont="1" applyFill="1" applyBorder="1" applyAlignment="1">
      <alignment horizontal="center" vertical="center" wrapText="1"/>
    </xf>
    <xf numFmtId="10" fontId="24" fillId="2" borderId="2" xfId="2" applyNumberFormat="1" applyFont="1" applyFill="1" applyBorder="1" applyAlignment="1">
      <alignment horizontal="center" vertical="center" wrapText="1"/>
    </xf>
    <xf numFmtId="0" fontId="23" fillId="2" borderId="3" xfId="2" applyFont="1" applyFill="1" applyBorder="1" applyAlignment="1">
      <alignment horizontal="center" vertical="center" wrapText="1"/>
    </xf>
    <xf numFmtId="0" fontId="24" fillId="2" borderId="3" xfId="2" applyFont="1" applyFill="1" applyBorder="1" applyAlignment="1">
      <alignment vertical="center" wrapText="1"/>
    </xf>
    <xf numFmtId="0" fontId="24" fillId="7" borderId="17" xfId="2" applyFont="1" applyFill="1" applyBorder="1" applyAlignment="1">
      <alignment vertical="center" wrapText="1"/>
    </xf>
    <xf numFmtId="0" fontId="21" fillId="7" borderId="18" xfId="2" applyFont="1" applyFill="1" applyBorder="1" applyAlignment="1">
      <alignment vertical="center" wrapText="1"/>
    </xf>
    <xf numFmtId="0" fontId="24" fillId="2" borderId="17" xfId="2" applyFont="1" applyFill="1" applyBorder="1" applyAlignment="1">
      <alignment horizontal="center" vertical="center" wrapText="1"/>
    </xf>
    <xf numFmtId="0" fontId="24" fillId="2" borderId="18" xfId="2" applyFont="1" applyFill="1" applyBorder="1" applyAlignment="1">
      <alignment horizontal="center" vertical="center" wrapText="1"/>
    </xf>
    <xf numFmtId="9" fontId="24" fillId="2" borderId="17" xfId="2" applyNumberFormat="1" applyFont="1" applyFill="1" applyBorder="1" applyAlignment="1">
      <alignment horizontal="center" vertical="center" wrapText="1"/>
    </xf>
    <xf numFmtId="4" fontId="24" fillId="2" borderId="18" xfId="2" applyNumberFormat="1" applyFont="1" applyFill="1" applyBorder="1" applyAlignment="1">
      <alignment horizontal="center" vertical="center" wrapText="1"/>
    </xf>
    <xf numFmtId="4" fontId="21" fillId="2" borderId="18" xfId="2" applyNumberFormat="1" applyFont="1" applyFill="1" applyBorder="1" applyAlignment="1">
      <alignment horizontal="center" vertical="center" wrapText="1"/>
    </xf>
    <xf numFmtId="9" fontId="24" fillId="7" borderId="17" xfId="2" applyNumberFormat="1" applyFont="1" applyFill="1" applyBorder="1" applyAlignment="1">
      <alignment horizontal="center" vertical="center" wrapText="1"/>
    </xf>
    <xf numFmtId="4" fontId="24" fillId="7" borderId="18" xfId="2" applyNumberFormat="1" applyFont="1" applyFill="1" applyBorder="1" applyAlignment="1">
      <alignment horizontal="center" vertical="center" wrapText="1"/>
    </xf>
    <xf numFmtId="0" fontId="39" fillId="0" borderId="17" xfId="2" applyFont="1" applyFill="1" applyBorder="1" applyAlignment="1">
      <alignment horizontal="left" vertical="center" wrapText="1"/>
    </xf>
    <xf numFmtId="0" fontId="39" fillId="0" borderId="18" xfId="2" applyFont="1" applyFill="1" applyBorder="1" applyAlignment="1">
      <alignment horizontal="left" vertical="center" wrapText="1"/>
    </xf>
    <xf numFmtId="0" fontId="21" fillId="2" borderId="17" xfId="2" applyFont="1" applyFill="1" applyBorder="1" applyAlignment="1">
      <alignment horizontal="center" vertical="center" wrapText="1"/>
    </xf>
    <xf numFmtId="0" fontId="21" fillId="2" borderId="18" xfId="2" applyFont="1" applyFill="1" applyBorder="1" applyAlignment="1">
      <alignment horizontal="center" vertical="center" wrapText="1"/>
    </xf>
    <xf numFmtId="0" fontId="24" fillId="7" borderId="18" xfId="2" applyFont="1" applyFill="1" applyBorder="1" applyAlignment="1">
      <alignment vertical="center" wrapText="1"/>
    </xf>
    <xf numFmtId="10" fontId="24" fillId="2" borderId="17" xfId="2" applyNumberFormat="1" applyFont="1" applyFill="1" applyBorder="1" applyAlignment="1">
      <alignment horizontal="center" vertical="center" wrapText="1"/>
    </xf>
    <xf numFmtId="10" fontId="24" fillId="7" borderId="17" xfId="2" applyNumberFormat="1" applyFont="1" applyFill="1" applyBorder="1" applyAlignment="1">
      <alignment horizontal="center" vertical="center" wrapText="1"/>
    </xf>
    <xf numFmtId="4" fontId="21" fillId="2" borderId="18" xfId="2" applyNumberFormat="1" applyFont="1" applyFill="1" applyBorder="1" applyAlignment="1">
      <alignment horizontal="center" wrapText="1"/>
    </xf>
    <xf numFmtId="4" fontId="24" fillId="7" borderId="18" xfId="2" applyNumberFormat="1" applyFont="1" applyFill="1" applyBorder="1" applyAlignment="1">
      <alignment horizontal="center" wrapText="1"/>
    </xf>
    <xf numFmtId="0" fontId="21" fillId="2" borderId="17" xfId="2" applyFont="1" applyFill="1" applyBorder="1" applyAlignment="1">
      <alignment horizontal="left" vertical="center" wrapText="1"/>
    </xf>
    <xf numFmtId="0" fontId="21" fillId="2" borderId="18" xfId="2" applyFont="1" applyFill="1" applyBorder="1" applyAlignment="1">
      <alignment horizontal="left" vertical="center" wrapText="1"/>
    </xf>
    <xf numFmtId="168" fontId="24" fillId="2" borderId="17" xfId="2" applyNumberFormat="1" applyFont="1" applyFill="1" applyBorder="1" applyAlignment="1">
      <alignment horizontal="center" vertical="center" wrapText="1"/>
    </xf>
    <xf numFmtId="168" fontId="24" fillId="8" borderId="17" xfId="2" applyNumberFormat="1" applyFont="1" applyFill="1" applyBorder="1" applyAlignment="1">
      <alignment horizontal="center" vertical="center" wrapText="1"/>
    </xf>
    <xf numFmtId="4" fontId="21" fillId="8" borderId="18" xfId="2" applyNumberFormat="1" applyFont="1" applyFill="1" applyBorder="1" applyAlignment="1">
      <alignment horizontal="center" vertical="center" wrapText="1"/>
    </xf>
    <xf numFmtId="10" fontId="24" fillId="7" borderId="17" xfId="2" applyNumberFormat="1" applyFont="1" applyFill="1" applyBorder="1" applyAlignment="1">
      <alignment horizontal="center" wrapText="1"/>
    </xf>
    <xf numFmtId="168" fontId="24" fillId="2" borderId="17" xfId="1" applyNumberFormat="1" applyFont="1" applyFill="1" applyBorder="1" applyAlignment="1">
      <alignment horizontal="center" vertical="center" wrapText="1"/>
    </xf>
    <xf numFmtId="0" fontId="24" fillId="2" borderId="17" xfId="2" applyFont="1" applyFill="1" applyBorder="1" applyAlignment="1">
      <alignment wrapText="1"/>
    </xf>
    <xf numFmtId="4" fontId="24" fillId="2" borderId="18" xfId="2" applyNumberFormat="1" applyFont="1" applyFill="1" applyBorder="1" applyAlignment="1">
      <alignment horizontal="right" wrapText="1"/>
    </xf>
    <xf numFmtId="0" fontId="21" fillId="2" borderId="17" xfId="0" applyFont="1" applyFill="1" applyBorder="1" applyAlignment="1">
      <alignment horizontal="left" vertical="center" wrapText="1"/>
    </xf>
    <xf numFmtId="0" fontId="24" fillId="2" borderId="17" xfId="0" applyFont="1" applyFill="1" applyBorder="1" applyAlignment="1">
      <alignment horizontal="center" vertical="center" wrapText="1"/>
    </xf>
    <xf numFmtId="0" fontId="40" fillId="2" borderId="17" xfId="2" applyFont="1" applyFill="1" applyBorder="1" applyAlignment="1">
      <alignment horizontal="center" wrapText="1"/>
    </xf>
    <xf numFmtId="0" fontId="40" fillId="2" borderId="18" xfId="2" applyFont="1" applyFill="1" applyBorder="1" applyAlignment="1">
      <alignment horizontal="center" wrapText="1"/>
    </xf>
    <xf numFmtId="4" fontId="40" fillId="2" borderId="17" xfId="2" applyNumberFormat="1" applyFont="1" applyFill="1" applyBorder="1" applyAlignment="1">
      <alignment horizontal="center" wrapText="1"/>
    </xf>
    <xf numFmtId="4" fontId="40" fillId="2" borderId="18" xfId="2" applyNumberFormat="1" applyFont="1" applyFill="1" applyBorder="1" applyAlignment="1">
      <alignment horizontal="center" wrapText="1"/>
    </xf>
    <xf numFmtId="4" fontId="40" fillId="2" borderId="17" xfId="2"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2" borderId="17" xfId="2" applyFont="1" applyFill="1" applyBorder="1" applyAlignment="1">
      <alignment horizontal="center" vertical="center" wrapText="1"/>
    </xf>
    <xf numFmtId="9" fontId="27" fillId="7" borderId="17" xfId="2" applyNumberFormat="1" applyFont="1" applyFill="1" applyBorder="1" applyAlignment="1">
      <alignment horizontal="center" vertical="center" wrapText="1"/>
    </xf>
    <xf numFmtId="9" fontId="27" fillId="2" borderId="17" xfId="2" applyNumberFormat="1" applyFont="1" applyFill="1" applyBorder="1" applyAlignment="1">
      <alignment horizontal="center" vertical="center" wrapText="1"/>
    </xf>
    <xf numFmtId="10" fontId="27" fillId="2" borderId="17" xfId="2" applyNumberFormat="1" applyFont="1" applyFill="1" applyBorder="1" applyAlignment="1">
      <alignment horizontal="center" vertical="center" wrapText="1"/>
    </xf>
    <xf numFmtId="10" fontId="27" fillId="7" borderId="17" xfId="2" applyNumberFormat="1" applyFont="1" applyFill="1" applyBorder="1" applyAlignment="1">
      <alignment horizontal="center" vertical="center" wrapText="1"/>
    </xf>
    <xf numFmtId="0" fontId="87" fillId="2" borderId="17" xfId="2" applyFont="1" applyFill="1" applyBorder="1" applyAlignment="1">
      <alignment horizontal="left" vertical="center" wrapText="1"/>
    </xf>
    <xf numFmtId="0" fontId="87" fillId="0" borderId="17" xfId="0" applyFont="1" applyBorder="1" applyAlignment="1">
      <alignment horizontal="left" vertical="center" wrapText="1"/>
    </xf>
    <xf numFmtId="0" fontId="27" fillId="2" borderId="17" xfId="2" applyFont="1" applyFill="1" applyBorder="1" applyAlignment="1">
      <alignment horizontal="left" vertical="center" wrapText="1"/>
    </xf>
    <xf numFmtId="4" fontId="34" fillId="2" borderId="17" xfId="2" applyNumberFormat="1" applyFont="1" applyFill="1" applyBorder="1" applyAlignment="1">
      <alignment horizontal="center" vertical="center" wrapText="1"/>
    </xf>
    <xf numFmtId="4" fontId="27" fillId="7" borderId="17" xfId="2" applyNumberFormat="1" applyFont="1" applyFill="1" applyBorder="1" applyAlignment="1">
      <alignment horizontal="center" vertical="center" wrapText="1"/>
    </xf>
    <xf numFmtId="168" fontId="27" fillId="2" borderId="17" xfId="2" applyNumberFormat="1" applyFont="1" applyFill="1" applyBorder="1" applyAlignment="1">
      <alignment horizontal="center" vertical="center" wrapText="1"/>
    </xf>
    <xf numFmtId="168" fontId="27" fillId="8" borderId="17" xfId="2" applyNumberFormat="1" applyFont="1" applyFill="1" applyBorder="1" applyAlignment="1">
      <alignment horizontal="center" vertical="center" wrapText="1"/>
    </xf>
    <xf numFmtId="10" fontId="27" fillId="7" borderId="17" xfId="2" applyNumberFormat="1" applyFont="1" applyFill="1" applyBorder="1" applyAlignment="1">
      <alignment horizontal="center" wrapText="1"/>
    </xf>
    <xf numFmtId="0" fontId="27" fillId="2" borderId="17" xfId="2" applyFont="1" applyFill="1" applyBorder="1" applyAlignment="1">
      <alignment vertical="center" wrapText="1"/>
    </xf>
    <xf numFmtId="168" fontId="27" fillId="2" borderId="17" xfId="1" applyNumberFormat="1" applyFont="1" applyFill="1" applyBorder="1" applyAlignment="1">
      <alignment horizontal="center" vertical="center" wrapText="1"/>
    </xf>
    <xf numFmtId="4" fontId="27" fillId="2" borderId="17" xfId="2" applyNumberFormat="1" applyFont="1" applyFill="1" applyBorder="1" applyAlignment="1">
      <alignment horizontal="center" vertical="center" wrapText="1"/>
    </xf>
    <xf numFmtId="4" fontId="27" fillId="2" borderId="17" xfId="2" applyNumberFormat="1" applyFont="1" applyFill="1" applyBorder="1" applyAlignment="1">
      <alignment horizontal="center" wrapText="1"/>
    </xf>
    <xf numFmtId="4" fontId="27" fillId="2" borderId="17" xfId="2" applyNumberFormat="1" applyFont="1" applyFill="1" applyBorder="1" applyAlignment="1">
      <alignment horizontal="right" wrapText="1"/>
    </xf>
    <xf numFmtId="0" fontId="34" fillId="2" borderId="17" xfId="2" applyFont="1" applyFill="1" applyBorder="1" applyAlignment="1">
      <alignment horizontal="center" vertical="center" wrapText="1"/>
    </xf>
    <xf numFmtId="167" fontId="27" fillId="2" borderId="17" xfId="2" applyNumberFormat="1" applyFont="1" applyFill="1" applyBorder="1" applyAlignment="1">
      <alignment horizontal="center" vertical="center" wrapText="1"/>
    </xf>
    <xf numFmtId="0" fontId="27" fillId="0" borderId="0" xfId="0" applyFont="1" applyBorder="1"/>
    <xf numFmtId="0" fontId="27" fillId="2" borderId="18" xfId="2" applyFont="1" applyFill="1" applyBorder="1" applyAlignment="1">
      <alignment horizontal="center" vertical="center" wrapText="1"/>
    </xf>
    <xf numFmtId="4" fontId="27" fillId="2" borderId="18" xfId="2" applyNumberFormat="1" applyFont="1" applyFill="1" applyBorder="1" applyAlignment="1">
      <alignment horizontal="center" wrapText="1"/>
    </xf>
    <xf numFmtId="4" fontId="27" fillId="7" borderId="18" xfId="2" applyNumberFormat="1" applyFont="1" applyFill="1" applyBorder="1" applyAlignment="1">
      <alignment horizontal="center" vertical="center" wrapText="1"/>
    </xf>
    <xf numFmtId="4" fontId="34" fillId="2" borderId="18" xfId="2" applyNumberFormat="1" applyFont="1" applyFill="1" applyBorder="1" applyAlignment="1">
      <alignment horizontal="center" vertical="center" wrapText="1"/>
    </xf>
    <xf numFmtId="0" fontId="87" fillId="2" borderId="18" xfId="2" applyFont="1" applyFill="1" applyBorder="1" applyAlignment="1">
      <alignment horizontal="left" vertical="center" wrapText="1"/>
    </xf>
    <xf numFmtId="0" fontId="87" fillId="0" borderId="18" xfId="0" applyFont="1" applyBorder="1" applyAlignment="1">
      <alignment horizontal="left" vertical="center" wrapText="1"/>
    </xf>
    <xf numFmtId="0" fontId="34" fillId="2" borderId="18" xfId="2" applyFont="1" applyFill="1" applyBorder="1" applyAlignment="1">
      <alignment horizontal="left" vertical="center" wrapText="1"/>
    </xf>
    <xf numFmtId="0" fontId="27" fillId="2" borderId="18" xfId="2" applyFont="1" applyFill="1" applyBorder="1" applyAlignment="1">
      <alignment horizontal="left" vertical="center" wrapText="1"/>
    </xf>
    <xf numFmtId="4" fontId="34" fillId="2" borderId="18" xfId="2" applyNumberFormat="1" applyFont="1" applyFill="1" applyBorder="1" applyAlignment="1">
      <alignment horizontal="center" wrapText="1"/>
    </xf>
    <xf numFmtId="4" fontId="27" fillId="7" borderId="18" xfId="2" applyNumberFormat="1" applyFont="1" applyFill="1" applyBorder="1" applyAlignment="1">
      <alignment horizontal="center" wrapText="1"/>
    </xf>
    <xf numFmtId="4" fontId="34" fillId="8" borderId="18" xfId="2" applyNumberFormat="1" applyFont="1" applyFill="1" applyBorder="1" applyAlignment="1">
      <alignment horizontal="center" vertical="center" wrapText="1"/>
    </xf>
    <xf numFmtId="0" fontId="27" fillId="2" borderId="18" xfId="2" applyFont="1" applyFill="1" applyBorder="1" applyAlignment="1">
      <alignment vertical="center" wrapText="1"/>
    </xf>
    <xf numFmtId="4" fontId="27" fillId="2" borderId="3" xfId="2" applyNumberFormat="1" applyFont="1" applyFill="1" applyBorder="1" applyAlignment="1">
      <alignment horizontal="center" vertical="center" wrapText="1"/>
    </xf>
    <xf numFmtId="4" fontId="27" fillId="2" borderId="18" xfId="2" applyNumberFormat="1" applyFont="1" applyFill="1" applyBorder="1" applyAlignment="1">
      <alignment horizontal="center" vertical="center" wrapText="1"/>
    </xf>
    <xf numFmtId="4" fontId="27" fillId="2" borderId="18" xfId="2" applyNumberFormat="1" applyFont="1" applyFill="1" applyBorder="1" applyAlignment="1">
      <alignment horizontal="right" wrapText="1"/>
    </xf>
    <xf numFmtId="4" fontId="27" fillId="0" borderId="18" xfId="2" applyNumberFormat="1" applyFont="1" applyFill="1" applyBorder="1" applyAlignment="1">
      <alignment horizontal="center" vertical="center" wrapText="1"/>
    </xf>
    <xf numFmtId="0" fontId="34" fillId="2" borderId="18" xfId="2" applyFont="1" applyFill="1" applyBorder="1" applyAlignment="1">
      <alignment horizontal="center" vertical="center" wrapText="1"/>
    </xf>
    <xf numFmtId="167" fontId="27" fillId="2" borderId="18" xfId="2" applyNumberFormat="1" applyFont="1" applyFill="1" applyBorder="1" applyAlignment="1">
      <alignment horizontal="center" vertical="center" wrapText="1"/>
    </xf>
    <xf numFmtId="0" fontId="27" fillId="7" borderId="17" xfId="2" applyFont="1" applyFill="1" applyBorder="1" applyAlignment="1">
      <alignment vertical="center" wrapText="1"/>
    </xf>
    <xf numFmtId="0" fontId="27" fillId="2" borderId="17" xfId="2" applyFont="1" applyFill="1" applyBorder="1" applyAlignment="1">
      <alignment horizontal="center" wrapText="1"/>
    </xf>
    <xf numFmtId="0" fontId="27" fillId="2" borderId="17" xfId="2" applyFont="1" applyFill="1" applyBorder="1" applyAlignment="1">
      <alignment wrapText="1"/>
    </xf>
    <xf numFmtId="0" fontId="27" fillId="7" borderId="17" xfId="2" applyFont="1" applyFill="1" applyBorder="1" applyAlignment="1">
      <alignment horizontal="center" vertical="center" wrapText="1"/>
    </xf>
    <xf numFmtId="0" fontId="34" fillId="7" borderId="18" xfId="2" applyFont="1" applyFill="1" applyBorder="1" applyAlignment="1">
      <alignment vertical="center" wrapText="1"/>
    </xf>
    <xf numFmtId="0" fontId="27" fillId="7" borderId="18" xfId="2" applyFont="1" applyFill="1" applyBorder="1" applyAlignment="1">
      <alignment vertical="center" wrapText="1"/>
    </xf>
    <xf numFmtId="0" fontId="27" fillId="2" borderId="18" xfId="2" applyFont="1" applyFill="1" applyBorder="1" applyAlignment="1">
      <alignment horizontal="center" wrapText="1"/>
    </xf>
    <xf numFmtId="0" fontId="27" fillId="7" borderId="18" xfId="2" applyFont="1" applyFill="1" applyBorder="1" applyAlignment="1">
      <alignment horizontal="center" vertical="center" wrapText="1"/>
    </xf>
    <xf numFmtId="0" fontId="34" fillId="0" borderId="0" xfId="0" applyFont="1" applyBorder="1"/>
    <xf numFmtId="167" fontId="36" fillId="7" borderId="3" xfId="2" applyNumberFormat="1" applyFont="1" applyFill="1" applyBorder="1" applyAlignment="1">
      <alignment horizontal="center" vertical="center" wrapText="1"/>
    </xf>
    <xf numFmtId="167" fontId="88" fillId="7" borderId="19" xfId="2" applyNumberFormat="1" applyFont="1" applyFill="1" applyBorder="1" applyAlignment="1">
      <alignment horizontal="center" vertical="center" wrapText="1"/>
    </xf>
    <xf numFmtId="167" fontId="88" fillId="7" borderId="21" xfId="2" applyNumberFormat="1" applyFont="1" applyFill="1" applyBorder="1" applyAlignment="1">
      <alignment horizontal="center" vertical="center" wrapText="1"/>
    </xf>
    <xf numFmtId="0" fontId="55" fillId="0" borderId="0" xfId="0" applyFont="1" applyBorder="1"/>
    <xf numFmtId="0" fontId="55" fillId="2" borderId="17" xfId="2" applyFont="1" applyFill="1" applyBorder="1" applyAlignment="1">
      <alignment horizontal="center" vertical="center" wrapText="1"/>
    </xf>
    <xf numFmtId="0" fontId="34" fillId="0" borderId="17" xfId="0" applyFont="1" applyBorder="1"/>
    <xf numFmtId="10" fontId="55" fillId="2" borderId="17" xfId="2" applyNumberFormat="1" applyFont="1" applyFill="1" applyBorder="1" applyAlignment="1">
      <alignment horizontal="center" vertical="center" wrapText="1"/>
    </xf>
    <xf numFmtId="0" fontId="55" fillId="7" borderId="17" xfId="2" applyFont="1" applyFill="1" applyBorder="1" applyAlignment="1">
      <alignment vertical="center" wrapText="1"/>
    </xf>
    <xf numFmtId="9" fontId="55" fillId="2" borderId="17" xfId="2" applyNumberFormat="1" applyFont="1" applyFill="1" applyBorder="1" applyAlignment="1">
      <alignment horizontal="center" vertical="center" wrapText="1"/>
    </xf>
    <xf numFmtId="9" fontId="55" fillId="7" borderId="17" xfId="2" applyNumberFormat="1" applyFont="1" applyFill="1" applyBorder="1" applyAlignment="1">
      <alignment horizontal="center" vertical="center" wrapText="1"/>
    </xf>
    <xf numFmtId="10" fontId="55" fillId="7" borderId="17" xfId="2" applyNumberFormat="1" applyFont="1" applyFill="1" applyBorder="1" applyAlignment="1">
      <alignment horizontal="center" vertical="center" wrapText="1"/>
    </xf>
    <xf numFmtId="0" fontId="55" fillId="2" borderId="17" xfId="2" applyFont="1" applyFill="1" applyBorder="1" applyAlignment="1">
      <alignment horizontal="left" vertical="center" wrapText="1"/>
    </xf>
    <xf numFmtId="0" fontId="34" fillId="7" borderId="17" xfId="0" applyFont="1" applyFill="1" applyBorder="1"/>
    <xf numFmtId="168" fontId="55" fillId="2" borderId="17" xfId="2" applyNumberFormat="1" applyFont="1" applyFill="1" applyBorder="1" applyAlignment="1">
      <alignment horizontal="center" vertical="center" wrapText="1"/>
    </xf>
    <xf numFmtId="168" fontId="55" fillId="2" borderId="17" xfId="1" applyNumberFormat="1" applyFont="1" applyFill="1" applyBorder="1" applyAlignment="1">
      <alignment horizontal="center" vertical="center" wrapText="1"/>
    </xf>
    <xf numFmtId="0" fontId="34" fillId="0" borderId="18" xfId="0" applyFont="1" applyBorder="1"/>
    <xf numFmtId="0" fontId="27" fillId="0" borderId="0" xfId="2" applyFont="1" applyBorder="1" applyAlignment="1">
      <alignment horizontal="center" vertical="center" wrapText="1"/>
    </xf>
    <xf numFmtId="0" fontId="89" fillId="7" borderId="19" xfId="0" applyFont="1" applyFill="1" applyBorder="1"/>
    <xf numFmtId="4" fontId="27" fillId="4" borderId="17" xfId="2" applyNumberFormat="1" applyFont="1" applyFill="1" applyBorder="1" applyAlignment="1">
      <alignment horizontal="center" vertical="center" wrapText="1"/>
    </xf>
    <xf numFmtId="0" fontId="55" fillId="2" borderId="17" xfId="2" applyFont="1" applyFill="1" applyBorder="1" applyAlignment="1">
      <alignment vertical="center" wrapText="1"/>
    </xf>
    <xf numFmtId="0" fontId="34" fillId="2" borderId="17" xfId="2" applyFont="1" applyFill="1" applyBorder="1" applyAlignment="1">
      <alignment horizontal="left" vertical="center" wrapText="1"/>
    </xf>
    <xf numFmtId="4" fontId="27" fillId="4" borderId="18" xfId="2" applyNumberFormat="1" applyFont="1" applyFill="1" applyBorder="1" applyAlignment="1">
      <alignment horizontal="center" vertical="center" wrapText="1"/>
    </xf>
    <xf numFmtId="0" fontId="87" fillId="0" borderId="17" xfId="2" applyFont="1" applyFill="1" applyBorder="1" applyAlignment="1">
      <alignment horizontal="left" vertical="center" wrapText="1"/>
    </xf>
    <xf numFmtId="0" fontId="38" fillId="2" borderId="17" xfId="2" applyFont="1" applyFill="1" applyBorder="1" applyAlignment="1">
      <alignment horizontal="left" vertical="center" wrapText="1"/>
    </xf>
    <xf numFmtId="10" fontId="55" fillId="7" borderId="17" xfId="2" applyNumberFormat="1" applyFont="1" applyFill="1" applyBorder="1" applyAlignment="1">
      <alignment horizontal="center" wrapText="1"/>
    </xf>
    <xf numFmtId="0" fontId="55" fillId="2" borderId="17" xfId="2" applyFont="1" applyFill="1" applyBorder="1" applyAlignment="1">
      <alignment wrapText="1"/>
    </xf>
    <xf numFmtId="0" fontId="55" fillId="7" borderId="17" xfId="2" applyFont="1" applyFill="1" applyBorder="1" applyAlignment="1">
      <alignment wrapText="1"/>
    </xf>
    <xf numFmtId="0" fontId="87" fillId="0" borderId="18" xfId="2" applyFont="1" applyFill="1" applyBorder="1" applyAlignment="1">
      <alignment horizontal="left" vertical="center" wrapText="1"/>
    </xf>
    <xf numFmtId="0" fontId="38" fillId="2" borderId="18" xfId="2" applyFont="1" applyFill="1" applyBorder="1" applyAlignment="1">
      <alignment horizontal="left" vertical="center" wrapText="1"/>
    </xf>
    <xf numFmtId="4" fontId="34" fillId="7" borderId="18" xfId="2" applyNumberFormat="1" applyFont="1" applyFill="1" applyBorder="1" applyAlignment="1">
      <alignment horizontal="center" vertical="center" wrapText="1"/>
    </xf>
    <xf numFmtId="4" fontId="24" fillId="7" borderId="17" xfId="2" applyNumberFormat="1" applyFont="1" applyFill="1" applyBorder="1" applyAlignment="1">
      <alignment horizontal="center" vertical="center" wrapText="1"/>
    </xf>
    <xf numFmtId="4" fontId="24" fillId="7" borderId="4" xfId="2" applyNumberFormat="1" applyFont="1" applyFill="1" applyBorder="1" applyAlignment="1">
      <alignment horizontal="center" vertical="center" wrapText="1"/>
    </xf>
    <xf numFmtId="4" fontId="24" fillId="2" borderId="3" xfId="2" applyNumberFormat="1" applyFont="1" applyFill="1" applyBorder="1" applyAlignment="1">
      <alignment vertical="center" wrapText="1"/>
    </xf>
    <xf numFmtId="4" fontId="24" fillId="7" borderId="4" xfId="2" applyNumberFormat="1" applyFont="1" applyFill="1" applyBorder="1" applyAlignment="1">
      <alignment wrapText="1"/>
    </xf>
    <xf numFmtId="4" fontId="24" fillId="2" borderId="2" xfId="2" applyNumberFormat="1" applyFont="1" applyFill="1" applyBorder="1" applyAlignment="1">
      <alignment vertical="center" wrapText="1"/>
    </xf>
    <xf numFmtId="4" fontId="24" fillId="2" borderId="17" xfId="2" applyNumberFormat="1" applyFont="1" applyFill="1" applyBorder="1" applyAlignment="1">
      <alignment vertical="center" wrapText="1"/>
    </xf>
    <xf numFmtId="4" fontId="24" fillId="2" borderId="18" xfId="2" applyNumberFormat="1" applyFont="1" applyFill="1" applyBorder="1" applyAlignment="1">
      <alignment vertical="center" wrapText="1"/>
    </xf>
    <xf numFmtId="4" fontId="24" fillId="7" borderId="17" xfId="2" applyNumberFormat="1" applyFont="1" applyFill="1" applyBorder="1" applyAlignment="1">
      <alignment wrapText="1"/>
    </xf>
    <xf numFmtId="4" fontId="24" fillId="7" borderId="18" xfId="2" applyNumberFormat="1" applyFont="1" applyFill="1" applyBorder="1" applyAlignment="1">
      <alignment wrapText="1"/>
    </xf>
    <xf numFmtId="43" fontId="24" fillId="2" borderId="3" xfId="2" applyNumberFormat="1" applyFont="1" applyFill="1" applyBorder="1" applyAlignment="1">
      <alignment vertical="center" wrapText="1"/>
    </xf>
    <xf numFmtId="2" fontId="24" fillId="2" borderId="3" xfId="2" applyNumberFormat="1" applyFont="1" applyFill="1" applyBorder="1" applyAlignment="1">
      <alignment horizontal="center" vertical="center" wrapText="1"/>
    </xf>
    <xf numFmtId="2" fontId="24" fillId="7" borderId="4" xfId="2" applyNumberFormat="1" applyFont="1" applyFill="1" applyBorder="1" applyAlignment="1">
      <alignment horizontal="center" vertical="center" wrapText="1"/>
    </xf>
    <xf numFmtId="2" fontId="24" fillId="7" borderId="18" xfId="2" applyNumberFormat="1" applyFont="1" applyFill="1" applyBorder="1" applyAlignment="1">
      <alignment horizontal="center" vertical="center" wrapText="1"/>
    </xf>
    <xf numFmtId="10" fontId="24" fillId="2" borderId="3" xfId="2" applyNumberFormat="1" applyFont="1" applyFill="1" applyBorder="1" applyAlignment="1">
      <alignment vertical="center" wrapText="1"/>
    </xf>
    <xf numFmtId="10" fontId="24" fillId="7" borderId="3" xfId="2" applyNumberFormat="1" applyFont="1" applyFill="1" applyBorder="1" applyAlignment="1">
      <alignment vertical="center" wrapText="1"/>
    </xf>
    <xf numFmtId="10" fontId="24" fillId="2" borderId="2" xfId="2" applyNumberFormat="1" applyFont="1" applyFill="1" applyBorder="1" applyAlignment="1">
      <alignment vertical="center" wrapText="1"/>
    </xf>
    <xf numFmtId="2" fontId="24" fillId="2" borderId="18" xfId="2" applyNumberFormat="1" applyFont="1" applyFill="1" applyBorder="1" applyAlignment="1">
      <alignment horizontal="center" vertical="center" wrapText="1"/>
    </xf>
    <xf numFmtId="10" fontId="24" fillId="0" borderId="17" xfId="2" applyNumberFormat="1" applyFont="1" applyFill="1" applyBorder="1" applyAlignment="1">
      <alignment horizontal="center" vertical="center" wrapText="1"/>
    </xf>
    <xf numFmtId="0" fontId="36" fillId="7" borderId="19" xfId="0" applyFont="1" applyFill="1" applyBorder="1" applyAlignment="1">
      <alignment horizontal="center" vertical="center" wrapText="1"/>
    </xf>
    <xf numFmtId="167" fontId="36" fillId="7" borderId="3" xfId="2" applyNumberFormat="1" applyFont="1" applyFill="1" applyBorder="1" applyAlignment="1">
      <alignment horizontal="right" vertical="center" wrapText="1"/>
    </xf>
    <xf numFmtId="10" fontId="24" fillId="2" borderId="3" xfId="2" applyNumberFormat="1" applyFont="1" applyFill="1" applyBorder="1" applyAlignment="1">
      <alignment horizontal="right" vertical="center" wrapText="1"/>
    </xf>
    <xf numFmtId="9" fontId="55" fillId="0" borderId="17" xfId="2" applyNumberFormat="1" applyFont="1" applyFill="1" applyBorder="1" applyAlignment="1">
      <alignment horizontal="center" vertical="center" wrapText="1"/>
    </xf>
    <xf numFmtId="2" fontId="21" fillId="2" borderId="2" xfId="0" applyNumberFormat="1" applyFont="1" applyFill="1" applyBorder="1"/>
    <xf numFmtId="4" fontId="34" fillId="0" borderId="18" xfId="2" applyNumberFormat="1" applyFont="1" applyFill="1" applyBorder="1" applyAlignment="1">
      <alignment horizontal="center" wrapText="1"/>
    </xf>
    <xf numFmtId="4" fontId="34" fillId="0" borderId="18" xfId="2" applyNumberFormat="1" applyFont="1" applyFill="1" applyBorder="1" applyAlignment="1">
      <alignment horizontal="center" vertical="center" wrapText="1"/>
    </xf>
    <xf numFmtId="0" fontId="55" fillId="3" borderId="2" xfId="0" applyFont="1" applyFill="1" applyBorder="1" applyAlignment="1">
      <alignment horizontal="center" vertical="center" wrapText="1"/>
    </xf>
    <xf numFmtId="0" fontId="23" fillId="3" borderId="15" xfId="0" applyFont="1" applyFill="1" applyBorder="1" applyAlignment="1">
      <alignment horizontal="center" vertical="center"/>
    </xf>
    <xf numFmtId="0" fontId="38" fillId="3" borderId="2" xfId="0" applyFont="1" applyFill="1" applyBorder="1" applyAlignment="1">
      <alignment horizontal="center" vertical="center" wrapText="1"/>
    </xf>
    <xf numFmtId="0" fontId="38" fillId="3" borderId="18" xfId="0" applyFont="1" applyFill="1" applyBorder="1" applyAlignment="1">
      <alignment horizontal="center" vertical="center" wrapText="1"/>
    </xf>
    <xf numFmtId="0" fontId="55" fillId="3" borderId="18" xfId="0" applyFont="1" applyFill="1" applyBorder="1" applyAlignment="1">
      <alignment horizontal="center" vertical="center" wrapText="1"/>
    </xf>
    <xf numFmtId="0" fontId="62" fillId="0" borderId="17" xfId="0" applyFont="1" applyBorder="1" applyAlignment="1">
      <alignment horizontal="center" vertical="center" wrapText="1"/>
    </xf>
    <xf numFmtId="4" fontId="62" fillId="0" borderId="18" xfId="1" applyNumberFormat="1" applyFont="1" applyBorder="1" applyAlignment="1">
      <alignment vertical="center" wrapText="1"/>
    </xf>
    <xf numFmtId="0" fontId="62" fillId="0" borderId="17" xfId="0" applyFont="1" applyFill="1" applyBorder="1" applyAlignment="1">
      <alignment horizontal="center" vertical="center" wrapText="1"/>
    </xf>
    <xf numFmtId="0" fontId="62" fillId="0" borderId="44" xfId="0" applyFont="1" applyFill="1" applyBorder="1" applyAlignment="1">
      <alignment horizontal="center" vertical="center" wrapText="1"/>
    </xf>
    <xf numFmtId="4" fontId="55" fillId="3" borderId="18" xfId="1" applyNumberFormat="1" applyFont="1" applyFill="1" applyBorder="1" applyAlignment="1">
      <alignment vertical="center" wrapText="1"/>
    </xf>
    <xf numFmtId="0" fontId="62" fillId="0" borderId="17" xfId="0" applyFont="1" applyBorder="1" applyAlignment="1">
      <alignment vertical="center" wrapText="1"/>
    </xf>
    <xf numFmtId="0" fontId="55" fillId="0" borderId="17" xfId="0" applyFont="1" applyBorder="1" applyAlignment="1">
      <alignment horizontal="center" vertical="center" wrapText="1"/>
    </xf>
    <xf numFmtId="4" fontId="55" fillId="0" borderId="18" xfId="1" applyNumberFormat="1" applyFont="1" applyBorder="1" applyAlignment="1">
      <alignment vertical="center" wrapText="1"/>
    </xf>
    <xf numFmtId="4" fontId="32" fillId="12" borderId="20" xfId="0" quotePrefix="1" applyNumberFormat="1" applyFont="1" applyFill="1" applyBorder="1" applyAlignment="1">
      <alignment horizontal="center" vertical="center"/>
    </xf>
    <xf numFmtId="0" fontId="58" fillId="0" borderId="0" xfId="0" applyFont="1" applyFill="1" applyAlignment="1">
      <alignment horizontal="center" vertical="center" wrapText="1"/>
    </xf>
    <xf numFmtId="0" fontId="58" fillId="0" borderId="0" xfId="0" applyFont="1" applyFill="1" applyAlignment="1">
      <alignment horizontal="center"/>
    </xf>
    <xf numFmtId="0" fontId="21" fillId="0" borderId="0" xfId="0" applyFont="1" applyFill="1"/>
    <xf numFmtId="10" fontId="40" fillId="0" borderId="2" xfId="2" applyNumberFormat="1" applyFont="1" applyFill="1" applyBorder="1" applyAlignment="1">
      <alignment horizontal="center" vertical="center" wrapText="1"/>
    </xf>
    <xf numFmtId="4" fontId="42" fillId="0" borderId="3" xfId="2" applyNumberFormat="1" applyFont="1" applyFill="1" applyBorder="1" applyAlignment="1">
      <alignment horizontal="center" vertical="center" wrapText="1"/>
    </xf>
    <xf numFmtId="10" fontId="46" fillId="0" borderId="17" xfId="2" applyNumberFormat="1" applyFont="1" applyFill="1" applyBorder="1" applyAlignment="1">
      <alignment horizontal="center" vertical="center" wrapText="1"/>
    </xf>
    <xf numFmtId="4" fontId="45" fillId="0" borderId="18" xfId="2" applyNumberFormat="1" applyFont="1" applyFill="1" applyBorder="1" applyAlignment="1">
      <alignment horizontal="center" vertical="center" wrapText="1"/>
    </xf>
    <xf numFmtId="0" fontId="35" fillId="0" borderId="0" xfId="0" applyFont="1" applyFill="1"/>
    <xf numFmtId="4" fontId="44" fillId="2" borderId="18" xfId="2" applyNumberFormat="1" applyFont="1" applyFill="1" applyBorder="1" applyAlignment="1">
      <alignment horizontal="center" wrapText="1"/>
    </xf>
    <xf numFmtId="4" fontId="63" fillId="2" borderId="18" xfId="2" applyNumberFormat="1" applyFont="1" applyFill="1" applyBorder="1" applyAlignment="1">
      <alignment horizontal="center" wrapText="1"/>
    </xf>
    <xf numFmtId="4" fontId="63" fillId="0" borderId="18" xfId="2" applyNumberFormat="1" applyFont="1" applyFill="1" applyBorder="1" applyAlignment="1">
      <alignment horizontal="center" wrapText="1"/>
    </xf>
    <xf numFmtId="0" fontId="23" fillId="3" borderId="15" xfId="0" applyFont="1" applyFill="1" applyBorder="1" applyAlignment="1">
      <alignment horizontal="center" vertical="center"/>
    </xf>
    <xf numFmtId="0" fontId="55" fillId="3" borderId="2"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55" fillId="3" borderId="18" xfId="0" applyFont="1" applyFill="1" applyBorder="1" applyAlignment="1">
      <alignment horizontal="center" vertical="center" wrapText="1"/>
    </xf>
    <xf numFmtId="0" fontId="44" fillId="2" borderId="17" xfId="2" applyFont="1" applyFill="1" applyBorder="1" applyAlignment="1">
      <alignment horizontal="center" vertical="center" wrapText="1"/>
    </xf>
    <xf numFmtId="0" fontId="44" fillId="2" borderId="18" xfId="2" applyFont="1" applyFill="1" applyBorder="1" applyAlignment="1">
      <alignment horizontal="center" vertical="center" wrapText="1"/>
    </xf>
    <xf numFmtId="0" fontId="9"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2"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0" fillId="0" borderId="0" xfId="0" applyAlignment="1">
      <alignment horizontal="center"/>
    </xf>
    <xf numFmtId="0" fontId="26" fillId="0" borderId="35" xfId="0" applyFont="1" applyBorder="1" applyAlignment="1">
      <alignment horizontal="center"/>
    </xf>
    <xf numFmtId="0" fontId="26" fillId="0" borderId="23" xfId="0" applyFont="1" applyBorder="1" applyAlignment="1">
      <alignment horizontal="center"/>
    </xf>
    <xf numFmtId="0" fontId="26" fillId="0" borderId="32" xfId="0" applyFont="1" applyBorder="1" applyAlignment="1">
      <alignment horizontal="center"/>
    </xf>
    <xf numFmtId="0" fontId="26" fillId="0" borderId="47" xfId="0" applyFont="1" applyBorder="1" applyAlignment="1">
      <alignment horizontal="center"/>
    </xf>
    <xf numFmtId="0" fontId="26" fillId="0" borderId="22" xfId="0" applyFont="1" applyBorder="1" applyAlignment="1">
      <alignment horizontal="center"/>
    </xf>
    <xf numFmtId="0" fontId="26" fillId="0" borderId="24" xfId="0" applyFont="1" applyBorder="1" applyAlignment="1">
      <alignment horizontal="center"/>
    </xf>
    <xf numFmtId="0" fontId="23" fillId="10" borderId="22" xfId="0" applyFont="1" applyFill="1" applyBorder="1" applyAlignment="1">
      <alignment horizontal="center" vertical="center" wrapText="1"/>
    </xf>
    <xf numFmtId="0" fontId="23" fillId="10" borderId="23" xfId="0" applyFont="1" applyFill="1" applyBorder="1" applyAlignment="1">
      <alignment horizontal="center" vertical="center" wrapText="1"/>
    </xf>
    <xf numFmtId="0" fontId="23" fillId="10" borderId="24" xfId="0" applyFont="1" applyFill="1" applyBorder="1" applyAlignment="1">
      <alignment horizontal="center" vertical="center" wrapText="1"/>
    </xf>
    <xf numFmtId="0" fontId="62" fillId="0" borderId="3" xfId="0" applyFont="1" applyBorder="1" applyAlignment="1">
      <alignment horizontal="left" vertical="center" wrapText="1"/>
    </xf>
    <xf numFmtId="0" fontId="62" fillId="0" borderId="4" xfId="0" applyFont="1" applyBorder="1" applyAlignment="1">
      <alignment horizontal="left" vertical="center" wrapText="1"/>
    </xf>
    <xf numFmtId="0" fontId="62" fillId="0" borderId="5" xfId="0" applyFont="1" applyBorder="1" applyAlignment="1">
      <alignment horizontal="left" vertical="center" wrapText="1"/>
    </xf>
    <xf numFmtId="0" fontId="55" fillId="3" borderId="17" xfId="0" applyFont="1" applyFill="1" applyBorder="1" applyAlignment="1">
      <alignment horizontal="center" vertical="center" wrapText="1"/>
    </xf>
    <xf numFmtId="0" fontId="55" fillId="3" borderId="2" xfId="0" applyFont="1" applyFill="1" applyBorder="1" applyAlignment="1">
      <alignment horizontal="center" vertical="center" wrapText="1"/>
    </xf>
    <xf numFmtId="0" fontId="55" fillId="3" borderId="18" xfId="0" applyFont="1" applyFill="1" applyBorder="1" applyAlignment="1">
      <alignment horizontal="center" vertical="center" wrapText="1"/>
    </xf>
    <xf numFmtId="0" fontId="55" fillId="0" borderId="2" xfId="0" applyFont="1" applyBorder="1" applyAlignment="1">
      <alignment horizontal="left" vertical="center" wrapText="1"/>
    </xf>
    <xf numFmtId="0" fontId="36" fillId="12" borderId="41" xfId="0" applyFont="1" applyFill="1" applyBorder="1" applyAlignment="1">
      <alignment horizontal="center" vertical="center" wrapText="1"/>
    </xf>
    <xf numFmtId="0" fontId="90" fillId="12" borderId="42" xfId="0" applyFont="1" applyFill="1" applyBorder="1" applyAlignment="1">
      <alignment horizontal="center" vertical="center" wrapText="1"/>
    </xf>
    <xf numFmtId="0" fontId="90" fillId="12" borderId="43" xfId="0" applyFont="1" applyFill="1" applyBorder="1" applyAlignment="1">
      <alignment horizontal="center" vertical="center" wrapText="1"/>
    </xf>
    <xf numFmtId="0" fontId="55" fillId="0" borderId="17" xfId="0" applyFont="1" applyBorder="1" applyAlignment="1">
      <alignment horizontal="center" vertical="center"/>
    </xf>
    <xf numFmtId="0" fontId="55" fillId="0" borderId="2" xfId="0" applyFont="1" applyBorder="1" applyAlignment="1">
      <alignment horizontal="center" vertical="center"/>
    </xf>
    <xf numFmtId="0" fontId="55" fillId="0" borderId="18" xfId="0" applyFont="1" applyBorder="1" applyAlignment="1">
      <alignment horizontal="center" vertical="center"/>
    </xf>
    <xf numFmtId="0" fontId="38" fillId="3" borderId="17"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55" fillId="3" borderId="38" xfId="0" applyFont="1" applyFill="1" applyBorder="1" applyAlignment="1">
      <alignment horizontal="center" vertical="center" wrapText="1"/>
    </xf>
    <xf numFmtId="0" fontId="55" fillId="3" borderId="5" xfId="0" applyFont="1" applyFill="1" applyBorder="1" applyAlignment="1">
      <alignment horizontal="center" vertical="center" wrapText="1"/>
    </xf>
    <xf numFmtId="0" fontId="23" fillId="0" borderId="17" xfId="0" applyFont="1" applyBorder="1" applyAlignment="1">
      <alignment horizontal="center" vertical="center"/>
    </xf>
    <xf numFmtId="0" fontId="23" fillId="0" borderId="2" xfId="0" applyFont="1" applyBorder="1" applyAlignment="1">
      <alignment horizontal="center" vertical="center"/>
    </xf>
    <xf numFmtId="43" fontId="23" fillId="0" borderId="2" xfId="1" applyFont="1" applyBorder="1" applyAlignment="1">
      <alignment horizontal="center" vertical="center"/>
    </xf>
    <xf numFmtId="43" fontId="23" fillId="0" borderId="18" xfId="1"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43" fontId="32" fillId="12" borderId="20" xfId="1" applyFont="1" applyFill="1" applyBorder="1" applyAlignment="1">
      <alignment horizontal="center" vertical="center"/>
    </xf>
    <xf numFmtId="43" fontId="32" fillId="12" borderId="21" xfId="1" applyFont="1" applyFill="1" applyBorder="1" applyAlignment="1">
      <alignment horizontal="center" vertical="center"/>
    </xf>
    <xf numFmtId="0" fontId="62" fillId="0" borderId="38" xfId="0" applyFont="1" applyBorder="1" applyAlignment="1">
      <alignment horizontal="center" vertical="center"/>
    </xf>
    <xf numFmtId="0" fontId="62" fillId="0" borderId="4" xfId="0" applyFont="1" applyBorder="1" applyAlignment="1">
      <alignment horizontal="center" vertical="center"/>
    </xf>
    <xf numFmtId="0" fontId="62" fillId="0" borderId="31" xfId="0" applyFont="1" applyBorder="1" applyAlignment="1">
      <alignment horizontal="center" vertical="center"/>
    </xf>
    <xf numFmtId="0" fontId="55" fillId="0" borderId="2" xfId="0" applyFont="1" applyBorder="1" applyAlignment="1">
      <alignment horizontal="center" vertical="center" wrapText="1"/>
    </xf>
    <xf numFmtId="0" fontId="55" fillId="0" borderId="27" xfId="0" applyFont="1" applyBorder="1" applyAlignment="1">
      <alignment horizontal="left" vertical="center"/>
    </xf>
    <xf numFmtId="0" fontId="62" fillId="0" borderId="0" xfId="0" applyFont="1" applyBorder="1" applyAlignment="1">
      <alignment horizontal="left" vertical="center"/>
    </xf>
    <xf numFmtId="0" fontId="62" fillId="0" borderId="28" xfId="0" applyFont="1" applyBorder="1" applyAlignment="1">
      <alignment horizontal="left" vertical="center"/>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16" xfId="0" applyFont="1" applyFill="1" applyBorder="1" applyAlignment="1">
      <alignment horizontal="center" vertical="center"/>
    </xf>
    <xf numFmtId="0" fontId="55" fillId="0" borderId="45" xfId="0" applyFont="1" applyBorder="1" applyAlignment="1">
      <alignment horizontal="center" vertical="center" wrapText="1"/>
    </xf>
    <xf numFmtId="0" fontId="55" fillId="0" borderId="46" xfId="0" applyFont="1" applyBorder="1" applyAlignment="1">
      <alignment horizontal="center" vertical="center" wrapText="1"/>
    </xf>
    <xf numFmtId="0" fontId="38" fillId="7" borderId="2" xfId="2" applyFont="1" applyFill="1" applyBorder="1" applyAlignment="1">
      <alignment horizontal="center" vertical="center"/>
    </xf>
    <xf numFmtId="0" fontId="55" fillId="3" borderId="3" xfId="0" applyFont="1" applyFill="1" applyBorder="1" applyAlignment="1">
      <alignment horizontal="center" vertical="center" wrapText="1"/>
    </xf>
    <xf numFmtId="0" fontId="55" fillId="3" borderId="4" xfId="0" applyFont="1" applyFill="1" applyBorder="1" applyAlignment="1">
      <alignment horizontal="center" vertical="center" wrapText="1"/>
    </xf>
    <xf numFmtId="0" fontId="38" fillId="7" borderId="3" xfId="2" applyFont="1" applyFill="1" applyBorder="1" applyAlignment="1">
      <alignment horizontal="center" vertical="center"/>
    </xf>
    <xf numFmtId="0" fontId="38" fillId="7" borderId="4" xfId="2" applyFont="1" applyFill="1" applyBorder="1" applyAlignment="1">
      <alignment horizontal="center" vertical="center"/>
    </xf>
    <xf numFmtId="0" fontId="38" fillId="7" borderId="5" xfId="2" applyFont="1" applyFill="1" applyBorder="1" applyAlignment="1">
      <alignment horizontal="center" vertical="center"/>
    </xf>
    <xf numFmtId="0" fontId="37" fillId="7" borderId="3" xfId="2" applyFont="1" applyFill="1" applyBorder="1" applyAlignment="1">
      <alignment horizontal="center" vertical="center"/>
    </xf>
    <xf numFmtId="0" fontId="37" fillId="7" borderId="4" xfId="2" applyFont="1" applyFill="1" applyBorder="1" applyAlignment="1">
      <alignment horizontal="center" vertical="center"/>
    </xf>
    <xf numFmtId="0" fontId="37" fillId="7" borderId="5" xfId="2" applyFont="1" applyFill="1" applyBorder="1" applyAlignment="1">
      <alignment horizontal="center" vertical="center"/>
    </xf>
    <xf numFmtId="0" fontId="37" fillId="7" borderId="2" xfId="2" applyFont="1" applyFill="1" applyBorder="1" applyAlignment="1">
      <alignment horizontal="center" vertical="center" wrapText="1"/>
    </xf>
    <xf numFmtId="0" fontId="91" fillId="12" borderId="12" xfId="0" applyFont="1" applyFill="1" applyBorder="1" applyAlignment="1">
      <alignment horizontal="center" vertical="center"/>
    </xf>
    <xf numFmtId="0" fontId="92" fillId="12" borderId="12" xfId="0" applyFont="1" applyFill="1" applyBorder="1" applyAlignment="1">
      <alignment horizontal="center" vertical="center"/>
    </xf>
    <xf numFmtId="0" fontId="55" fillId="0" borderId="0" xfId="0" applyFont="1" applyAlignment="1">
      <alignment horizontal="left" vertical="center"/>
    </xf>
    <xf numFmtId="0" fontId="62" fillId="0" borderId="0" xfId="0" applyFont="1" applyAlignment="1">
      <alignment horizontal="left" vertical="center"/>
    </xf>
    <xf numFmtId="0" fontId="55" fillId="0" borderId="9" xfId="0" applyFont="1" applyBorder="1" applyAlignment="1">
      <alignment horizontal="center" vertical="center" wrapText="1"/>
    </xf>
    <xf numFmtId="0" fontId="55" fillId="0" borderId="6" xfId="0" applyFont="1" applyBorder="1" applyAlignment="1">
      <alignment horizontal="center" vertical="center" wrapText="1"/>
    </xf>
    <xf numFmtId="0" fontId="40" fillId="7" borderId="3" xfId="2" applyFont="1" applyFill="1" applyBorder="1" applyAlignment="1">
      <alignment horizontal="center" vertical="center" wrapText="1"/>
    </xf>
    <xf numFmtId="0" fontId="40" fillId="7" borderId="4" xfId="2" applyFont="1" applyFill="1" applyBorder="1" applyAlignment="1">
      <alignment horizontal="center" vertical="center" wrapText="1"/>
    </xf>
    <xf numFmtId="0" fontId="40" fillId="2" borderId="3" xfId="2" applyFont="1" applyFill="1" applyBorder="1" applyAlignment="1">
      <alignment horizontal="left" vertical="center" wrapText="1"/>
    </xf>
    <xf numFmtId="0" fontId="40" fillId="2" borderId="4" xfId="2" applyFont="1" applyFill="1" applyBorder="1" applyAlignment="1">
      <alignment horizontal="left" vertical="center" wrapText="1"/>
    </xf>
    <xf numFmtId="0" fontId="42" fillId="2" borderId="3" xfId="2" applyFont="1" applyFill="1" applyBorder="1" applyAlignment="1">
      <alignment horizontal="center" vertical="center" wrapText="1"/>
    </xf>
    <xf numFmtId="0" fontId="42" fillId="2" borderId="4" xfId="2" applyFont="1" applyFill="1" applyBorder="1" applyAlignment="1">
      <alignment horizontal="center" vertical="center" wrapText="1"/>
    </xf>
    <xf numFmtId="0" fontId="68" fillId="2" borderId="3" xfId="2" applyFont="1" applyFill="1" applyBorder="1" applyAlignment="1">
      <alignment horizontal="left" vertical="center" wrapText="1"/>
    </xf>
    <xf numFmtId="0" fontId="68" fillId="2" borderId="4" xfId="2" applyFont="1" applyFill="1" applyBorder="1" applyAlignment="1">
      <alignment horizontal="left" vertical="center" wrapText="1"/>
    </xf>
    <xf numFmtId="0" fontId="83" fillId="2" borderId="3" xfId="2" applyFont="1" applyFill="1" applyBorder="1" applyAlignment="1">
      <alignment horizontal="left" vertical="center" wrapText="1"/>
    </xf>
    <xf numFmtId="0" fontId="83" fillId="2" borderId="4" xfId="2" applyFont="1" applyFill="1" applyBorder="1" applyAlignment="1">
      <alignment horizontal="left" vertical="center" wrapText="1"/>
    </xf>
    <xf numFmtId="0" fontId="44" fillId="2" borderId="38" xfId="2" applyFont="1" applyFill="1" applyBorder="1" applyAlignment="1">
      <alignment horizontal="center" vertical="center" wrapText="1"/>
    </xf>
    <xf numFmtId="0" fontId="44" fillId="2" borderId="31" xfId="2" applyFont="1" applyFill="1" applyBorder="1" applyAlignment="1">
      <alignment horizontal="center" vertical="center" wrapText="1"/>
    </xf>
    <xf numFmtId="0" fontId="44" fillId="7" borderId="38" xfId="2" applyFont="1" applyFill="1" applyBorder="1" applyAlignment="1">
      <alignment horizontal="center" vertical="center" wrapText="1"/>
    </xf>
    <xf numFmtId="0" fontId="44" fillId="7" borderId="31" xfId="2" applyFont="1" applyFill="1" applyBorder="1" applyAlignment="1">
      <alignment horizontal="center" vertical="center" wrapText="1"/>
    </xf>
    <xf numFmtId="0" fontId="44" fillId="7" borderId="17" xfId="2" applyFont="1" applyFill="1" applyBorder="1" applyAlignment="1">
      <alignment horizontal="center" vertical="center" wrapText="1"/>
    </xf>
    <xf numFmtId="0" fontId="44" fillId="7" borderId="18" xfId="2" applyFont="1" applyFill="1" applyBorder="1" applyAlignment="1">
      <alignment horizontal="center" vertical="center" wrapText="1"/>
    </xf>
    <xf numFmtId="0" fontId="44" fillId="0" borderId="38" xfId="2" applyFont="1" applyFill="1" applyBorder="1" applyAlignment="1">
      <alignment horizontal="center" vertical="center" wrapText="1"/>
    </xf>
    <xf numFmtId="0" fontId="44" fillId="0" borderId="31" xfId="2" applyFont="1" applyFill="1" applyBorder="1" applyAlignment="1">
      <alignment horizontal="center" vertical="center" wrapText="1"/>
    </xf>
    <xf numFmtId="0" fontId="40" fillId="7" borderId="31" xfId="2" applyFont="1" applyFill="1" applyBorder="1" applyAlignment="1">
      <alignment horizontal="center" vertical="center" wrapText="1"/>
    </xf>
    <xf numFmtId="0" fontId="44" fillId="2" borderId="17" xfId="2" applyFont="1" applyFill="1" applyBorder="1" applyAlignment="1">
      <alignment horizontal="center" vertical="center" wrapText="1"/>
    </xf>
    <xf numFmtId="0" fontId="44" fillId="2" borderId="18" xfId="2" applyFont="1" applyFill="1" applyBorder="1" applyAlignment="1">
      <alignment horizontal="center" vertical="center" wrapText="1"/>
    </xf>
    <xf numFmtId="0" fontId="44" fillId="2" borderId="17" xfId="2" applyFont="1" applyFill="1" applyBorder="1" applyAlignment="1">
      <alignment horizontal="center" wrapText="1"/>
    </xf>
    <xf numFmtId="0" fontId="44" fillId="2" borderId="18" xfId="2" applyFont="1" applyFill="1" applyBorder="1" applyAlignment="1">
      <alignment horizontal="center" wrapText="1"/>
    </xf>
    <xf numFmtId="0" fontId="42" fillId="0" borderId="3" xfId="2" applyFont="1" applyFill="1" applyBorder="1" applyAlignment="1">
      <alignment horizontal="left" vertical="center" wrapText="1"/>
    </xf>
    <xf numFmtId="0" fontId="42" fillId="0" borderId="4" xfId="2" applyFont="1" applyFill="1" applyBorder="1" applyAlignment="1">
      <alignment horizontal="left" vertical="center" wrapText="1"/>
    </xf>
    <xf numFmtId="0" fontId="42" fillId="0" borderId="5" xfId="2" applyFont="1" applyFill="1" applyBorder="1" applyAlignment="1">
      <alignment horizontal="left" vertical="center" wrapText="1"/>
    </xf>
    <xf numFmtId="0" fontId="40" fillId="2" borderId="3" xfId="2" applyFont="1" applyFill="1" applyBorder="1" applyAlignment="1">
      <alignment horizontal="center" wrapText="1"/>
    </xf>
    <xf numFmtId="0" fontId="40" fillId="2" borderId="4" xfId="2" applyFont="1" applyFill="1" applyBorder="1" applyAlignment="1">
      <alignment horizontal="center" wrapText="1"/>
    </xf>
    <xf numFmtId="0" fontId="40" fillId="2" borderId="3" xfId="2" applyFont="1" applyFill="1" applyBorder="1" applyAlignment="1">
      <alignment horizontal="center" vertical="center" wrapText="1"/>
    </xf>
    <xf numFmtId="0" fontId="40" fillId="2" borderId="4" xfId="2" applyFont="1" applyFill="1" applyBorder="1" applyAlignment="1">
      <alignment horizontal="center" vertical="center" wrapText="1"/>
    </xf>
    <xf numFmtId="0" fontId="40" fillId="2" borderId="5" xfId="2" applyFont="1" applyFill="1" applyBorder="1" applyAlignment="1">
      <alignment horizontal="center" vertical="center" wrapText="1"/>
    </xf>
    <xf numFmtId="0" fontId="42" fillId="2" borderId="3" xfId="2" applyFont="1" applyFill="1" applyBorder="1" applyAlignment="1">
      <alignment horizontal="left" vertical="center" wrapText="1"/>
    </xf>
    <xf numFmtId="0" fontId="42" fillId="2" borderId="4" xfId="2" applyFont="1" applyFill="1" applyBorder="1" applyAlignment="1">
      <alignment horizontal="left" vertical="center" wrapText="1"/>
    </xf>
    <xf numFmtId="0" fontId="42" fillId="2" borderId="5" xfId="2" applyFont="1" applyFill="1" applyBorder="1" applyAlignment="1">
      <alignment horizontal="left" vertical="center" wrapText="1"/>
    </xf>
    <xf numFmtId="0" fontId="40" fillId="7" borderId="3" xfId="2" applyFont="1" applyFill="1" applyBorder="1" applyAlignment="1">
      <alignment horizontal="center" wrapText="1"/>
    </xf>
    <xf numFmtId="0" fontId="40" fillId="7" borderId="4" xfId="2" applyFont="1" applyFill="1" applyBorder="1" applyAlignment="1">
      <alignment horizontal="center" wrapText="1"/>
    </xf>
    <xf numFmtId="0" fontId="40" fillId="7" borderId="5" xfId="2" applyFont="1" applyFill="1" applyBorder="1" applyAlignment="1">
      <alignment horizontal="center" wrapText="1"/>
    </xf>
    <xf numFmtId="0" fontId="40" fillId="7" borderId="5" xfId="2" applyFont="1" applyFill="1" applyBorder="1" applyAlignment="1">
      <alignment horizontal="center" vertical="center" wrapText="1"/>
    </xf>
    <xf numFmtId="0" fontId="44" fillId="0" borderId="17" xfId="2" applyFont="1" applyFill="1" applyBorder="1" applyAlignment="1">
      <alignment horizontal="center" vertical="center" wrapText="1"/>
    </xf>
    <xf numFmtId="0" fontId="44" fillId="0" borderId="18" xfId="2" applyFont="1" applyFill="1" applyBorder="1" applyAlignment="1">
      <alignment horizontal="center" vertical="center" wrapText="1"/>
    </xf>
    <xf numFmtId="0" fontId="54" fillId="7" borderId="17" xfId="2" applyFont="1" applyFill="1" applyBorder="1" applyAlignment="1">
      <alignment horizontal="center" vertical="center" wrapText="1"/>
    </xf>
    <xf numFmtId="0" fontId="54" fillId="7" borderId="18" xfId="2" applyFont="1" applyFill="1" applyBorder="1" applyAlignment="1">
      <alignment horizontal="center" vertical="center" wrapText="1"/>
    </xf>
    <xf numFmtId="0" fontId="46" fillId="0" borderId="17" xfId="2" applyFont="1" applyFill="1" applyBorder="1" applyAlignment="1">
      <alignment horizontal="center" vertical="center" wrapText="1"/>
    </xf>
    <xf numFmtId="0" fontId="46" fillId="0" borderId="18" xfId="2" applyFont="1" applyFill="1" applyBorder="1" applyAlignment="1">
      <alignment horizontal="center" vertical="center" wrapText="1"/>
    </xf>
    <xf numFmtId="14" fontId="40" fillId="0" borderId="17" xfId="2" applyNumberFormat="1" applyFont="1" applyFill="1" applyBorder="1" applyAlignment="1">
      <alignment horizontal="center" vertical="center" wrapText="1"/>
    </xf>
    <xf numFmtId="14" fontId="40" fillId="0" borderId="18" xfId="2" applyNumberFormat="1" applyFont="1" applyFill="1" applyBorder="1" applyAlignment="1">
      <alignment horizontal="center" vertical="center" wrapText="1"/>
    </xf>
    <xf numFmtId="0" fontId="45" fillId="0" borderId="17" xfId="2" applyFont="1" applyFill="1" applyBorder="1" applyAlignment="1">
      <alignment horizontal="center" vertical="center" wrapText="1"/>
    </xf>
    <xf numFmtId="0" fontId="45" fillId="0" borderId="18" xfId="2" applyFont="1" applyFill="1" applyBorder="1" applyAlignment="1">
      <alignment horizontal="center" vertical="center" wrapText="1"/>
    </xf>
    <xf numFmtId="0" fontId="54" fillId="9" borderId="17" xfId="2" applyFont="1" applyFill="1" applyBorder="1" applyAlignment="1">
      <alignment horizontal="center" vertical="center" wrapText="1"/>
    </xf>
    <xf numFmtId="0" fontId="54" fillId="9" borderId="18" xfId="2" applyFont="1" applyFill="1" applyBorder="1" applyAlignment="1">
      <alignment horizontal="center" vertical="center" wrapText="1"/>
    </xf>
    <xf numFmtId="0" fontId="45" fillId="2" borderId="17" xfId="2" applyFont="1" applyFill="1" applyBorder="1" applyAlignment="1">
      <alignment horizontal="center" vertical="center" wrapText="1"/>
    </xf>
    <xf numFmtId="0" fontId="45" fillId="2" borderId="18" xfId="2"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4" fillId="0" borderId="18" xfId="2" applyFont="1" applyFill="1" applyBorder="1" applyAlignment="1">
      <alignment horizontal="center" vertical="center" wrapText="1"/>
    </xf>
    <xf numFmtId="0" fontId="48" fillId="7" borderId="17" xfId="2" applyFont="1" applyFill="1" applyBorder="1" applyAlignment="1">
      <alignment horizontal="center" vertical="center" wrapText="1"/>
    </xf>
    <xf numFmtId="0" fontId="48" fillId="7" borderId="18" xfId="2" applyFont="1" applyFill="1" applyBorder="1" applyAlignment="1">
      <alignment horizontal="center" vertical="center" wrapText="1"/>
    </xf>
    <xf numFmtId="0" fontId="46" fillId="7" borderId="17" xfId="2" applyFont="1" applyFill="1" applyBorder="1" applyAlignment="1">
      <alignment horizontal="center" vertical="center" wrapText="1"/>
    </xf>
    <xf numFmtId="0" fontId="46" fillId="7" borderId="18" xfId="2" applyFont="1" applyFill="1" applyBorder="1" applyAlignment="1">
      <alignment horizontal="center" vertical="center" wrapText="1"/>
    </xf>
    <xf numFmtId="166" fontId="44" fillId="9" borderId="17" xfId="2" applyNumberFormat="1" applyFont="1" applyFill="1" applyBorder="1" applyAlignment="1">
      <alignment horizontal="center" vertical="center" wrapText="1"/>
    </xf>
    <xf numFmtId="166" fontId="44" fillId="9" borderId="18" xfId="2" applyNumberFormat="1" applyFont="1" applyFill="1" applyBorder="1" applyAlignment="1">
      <alignment horizontal="center" vertical="center" wrapText="1"/>
    </xf>
    <xf numFmtId="0" fontId="40" fillId="0" borderId="13" xfId="2" applyFont="1" applyBorder="1" applyAlignment="1">
      <alignment horizontal="center" vertical="center" wrapText="1"/>
    </xf>
    <xf numFmtId="0" fontId="40" fillId="0" borderId="0" xfId="2" applyFont="1" applyBorder="1" applyAlignment="1">
      <alignment horizontal="center" vertical="center" wrapText="1"/>
    </xf>
    <xf numFmtId="0" fontId="53" fillId="7" borderId="3" xfId="2" applyFont="1" applyFill="1" applyBorder="1" applyAlignment="1">
      <alignment horizontal="center" vertical="center" wrapText="1"/>
    </xf>
    <xf numFmtId="0" fontId="53" fillId="7" borderId="4" xfId="2" applyFont="1" applyFill="1" applyBorder="1" applyAlignment="1">
      <alignment horizontal="center" vertical="center" wrapText="1"/>
    </xf>
    <xf numFmtId="0" fontId="40" fillId="7" borderId="3" xfId="0" applyFont="1" applyFill="1" applyBorder="1" applyAlignment="1">
      <alignment horizontal="center" vertical="center" wrapText="1"/>
    </xf>
    <xf numFmtId="0" fontId="40" fillId="7" borderId="4" xfId="0" applyFont="1" applyFill="1" applyBorder="1" applyAlignment="1">
      <alignment horizontal="center" vertical="center" wrapText="1"/>
    </xf>
    <xf numFmtId="0" fontId="40" fillId="7" borderId="5" xfId="0" applyFont="1" applyFill="1" applyBorder="1" applyAlignment="1">
      <alignment horizontal="center" vertical="center" wrapText="1"/>
    </xf>
    <xf numFmtId="0" fontId="42" fillId="2" borderId="2" xfId="2" applyFont="1" applyFill="1" applyBorder="1" applyAlignment="1">
      <alignment horizontal="left" vertical="center" wrapText="1"/>
    </xf>
    <xf numFmtId="0" fontId="50" fillId="2" borderId="3" xfId="2" applyFont="1" applyFill="1" applyBorder="1" applyAlignment="1">
      <alignment horizontal="left" vertical="center" wrapText="1"/>
    </xf>
    <xf numFmtId="0" fontId="50" fillId="2" borderId="4" xfId="2" applyFont="1" applyFill="1" applyBorder="1" applyAlignment="1">
      <alignment horizontal="left" vertical="center" wrapText="1"/>
    </xf>
    <xf numFmtId="0" fontId="42" fillId="2" borderId="4" xfId="0" applyFont="1" applyFill="1" applyBorder="1" applyAlignment="1">
      <alignment horizontal="left" vertical="center" wrapText="1"/>
    </xf>
    <xf numFmtId="0" fontId="42" fillId="2" borderId="5" xfId="0" applyFont="1" applyFill="1" applyBorder="1" applyAlignment="1">
      <alignment horizontal="left" vertical="center" wrapText="1"/>
    </xf>
    <xf numFmtId="0" fontId="42" fillId="2" borderId="3" xfId="0" applyFont="1" applyFill="1" applyBorder="1" applyAlignment="1">
      <alignment horizontal="left" vertical="center" wrapText="1"/>
    </xf>
    <xf numFmtId="10" fontId="40" fillId="2" borderId="3" xfId="2" applyNumberFormat="1" applyFont="1" applyFill="1" applyBorder="1" applyAlignment="1">
      <alignment horizontal="center" vertical="center" wrapText="1"/>
    </xf>
    <xf numFmtId="10" fontId="40" fillId="2" borderId="5" xfId="2" applyNumberFormat="1" applyFont="1" applyFill="1" applyBorder="1" applyAlignment="1">
      <alignment horizontal="center" vertical="center" wrapText="1"/>
    </xf>
    <xf numFmtId="10" fontId="40" fillId="7" borderId="3" xfId="2" applyNumberFormat="1" applyFont="1" applyFill="1" applyBorder="1" applyAlignment="1">
      <alignment horizontal="center" vertical="center" wrapText="1"/>
    </xf>
    <xf numFmtId="0" fontId="40" fillId="2" borderId="2" xfId="2" applyFont="1" applyFill="1" applyBorder="1" applyAlignment="1">
      <alignment horizontal="center" vertical="center" wrapText="1"/>
    </xf>
    <xf numFmtId="10" fontId="40" fillId="2" borderId="2" xfId="2" applyNumberFormat="1" applyFont="1" applyFill="1" applyBorder="1" applyAlignment="1">
      <alignment horizontal="center" vertical="center" wrapText="1"/>
    </xf>
    <xf numFmtId="0" fontId="69" fillId="2" borderId="3" xfId="2" applyFont="1" applyFill="1" applyBorder="1" applyAlignment="1">
      <alignment horizontal="left" vertical="center" wrapText="1"/>
    </xf>
    <xf numFmtId="0" fontId="40" fillId="2" borderId="5" xfId="2" applyFont="1" applyFill="1" applyBorder="1" applyAlignment="1">
      <alignment horizontal="left" vertical="center" wrapText="1"/>
    </xf>
    <xf numFmtId="0" fontId="40" fillId="0" borderId="3" xfId="2" applyFont="1" applyFill="1" applyBorder="1" applyAlignment="1">
      <alignment horizontal="left" vertical="center" wrapText="1"/>
    </xf>
    <xf numFmtId="0" fontId="40" fillId="0" borderId="4" xfId="2" applyFont="1" applyFill="1" applyBorder="1" applyAlignment="1">
      <alignment horizontal="left" vertical="center" wrapText="1"/>
    </xf>
    <xf numFmtId="0" fontId="24" fillId="2" borderId="3" xfId="2" applyFont="1" applyFill="1" applyBorder="1" applyAlignment="1">
      <alignment horizontal="left" vertical="center" wrapText="1"/>
    </xf>
    <xf numFmtId="0" fontId="21" fillId="2" borderId="4" xfId="2" applyFont="1" applyFill="1" applyBorder="1" applyAlignment="1">
      <alignment horizontal="left" vertical="center" wrapText="1"/>
    </xf>
    <xf numFmtId="0" fontId="21" fillId="2" borderId="5" xfId="2" applyFont="1" applyFill="1" applyBorder="1" applyAlignment="1">
      <alignment horizontal="left" vertical="center" wrapText="1"/>
    </xf>
    <xf numFmtId="0" fontId="42" fillId="2" borderId="5" xfId="2" applyFont="1" applyFill="1" applyBorder="1" applyAlignment="1">
      <alignment horizontal="center" vertical="center" wrapText="1"/>
    </xf>
    <xf numFmtId="0" fontId="81" fillId="0" borderId="4" xfId="0" applyFont="1" applyBorder="1" applyAlignment="1">
      <alignment horizontal="left" vertical="center" wrapText="1"/>
    </xf>
    <xf numFmtId="0" fontId="42" fillId="7" borderId="3" xfId="2" applyFont="1" applyFill="1" applyBorder="1" applyAlignment="1">
      <alignment horizontal="center" vertical="center" wrapText="1"/>
    </xf>
    <xf numFmtId="0" fontId="42" fillId="7" borderId="4" xfId="2" applyFont="1" applyFill="1" applyBorder="1" applyAlignment="1">
      <alignment horizontal="center" vertical="center" wrapText="1"/>
    </xf>
    <xf numFmtId="0" fontId="40" fillId="7" borderId="3" xfId="2" applyFont="1" applyFill="1" applyBorder="1" applyAlignment="1">
      <alignment horizontal="left" vertical="center" wrapText="1"/>
    </xf>
    <xf numFmtId="0" fontId="40" fillId="7" borderId="4" xfId="2" applyFont="1" applyFill="1" applyBorder="1" applyAlignment="1">
      <alignment horizontal="left" vertical="center" wrapText="1"/>
    </xf>
    <xf numFmtId="0" fontId="52" fillId="2" borderId="3" xfId="2" applyFont="1" applyFill="1" applyBorder="1" applyAlignment="1">
      <alignment vertical="center" wrapText="1"/>
    </xf>
    <xf numFmtId="0" fontId="52" fillId="2" borderId="4" xfId="2" applyFont="1" applyFill="1" applyBorder="1" applyAlignment="1">
      <alignment vertical="center" wrapText="1"/>
    </xf>
    <xf numFmtId="0" fontId="52" fillId="2" borderId="5" xfId="2" applyFont="1" applyFill="1" applyBorder="1" applyAlignment="1">
      <alignment vertical="center" wrapText="1"/>
    </xf>
    <xf numFmtId="14" fontId="42" fillId="2" borderId="3" xfId="2" applyNumberFormat="1" applyFont="1" applyFill="1" applyBorder="1" applyAlignment="1">
      <alignment horizontal="center" vertical="center" wrapText="1"/>
    </xf>
    <xf numFmtId="14" fontId="42" fillId="2" borderId="4" xfId="2" applyNumberFormat="1" applyFont="1" applyFill="1" applyBorder="1" applyAlignment="1">
      <alignment horizontal="center" vertical="center" wrapText="1"/>
    </xf>
    <xf numFmtId="0" fontId="40" fillId="7" borderId="2" xfId="2" applyFont="1" applyFill="1" applyBorder="1" applyAlignment="1">
      <alignment horizontal="center" vertical="center" wrapText="1"/>
    </xf>
    <xf numFmtId="0" fontId="40" fillId="0" borderId="2" xfId="2" applyFont="1" applyFill="1" applyBorder="1" applyAlignment="1">
      <alignment horizontal="center" vertical="center" wrapText="1"/>
    </xf>
    <xf numFmtId="0" fontId="40" fillId="0" borderId="3" xfId="2" applyFont="1" applyFill="1" applyBorder="1" applyAlignment="1">
      <alignment horizontal="center" vertical="center" wrapText="1"/>
    </xf>
    <xf numFmtId="0" fontId="6" fillId="9" borderId="10"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11" xfId="2" applyFont="1" applyFill="1" applyBorder="1" applyAlignment="1">
      <alignment horizontal="center" vertical="center" wrapText="1"/>
    </xf>
    <xf numFmtId="0" fontId="40" fillId="0" borderId="4" xfId="2" applyFont="1" applyFill="1" applyBorder="1" applyAlignment="1">
      <alignment horizontal="center" vertical="center" wrapText="1"/>
    </xf>
    <xf numFmtId="0" fontId="40" fillId="0" borderId="5" xfId="2" applyFont="1" applyFill="1" applyBorder="1" applyAlignment="1">
      <alignment horizontal="center" vertical="center" wrapText="1"/>
    </xf>
    <xf numFmtId="0" fontId="68" fillId="0" borderId="3" xfId="2" applyFont="1" applyFill="1" applyBorder="1" applyAlignment="1">
      <alignment horizontal="left" vertical="center" wrapText="1"/>
    </xf>
    <xf numFmtId="0" fontId="68" fillId="0" borderId="4" xfId="2" applyFont="1" applyFill="1" applyBorder="1" applyAlignment="1">
      <alignment horizontal="left" vertical="center" wrapText="1"/>
    </xf>
    <xf numFmtId="0" fontId="40" fillId="2" borderId="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61" fillId="7" borderId="6" xfId="2" applyFont="1" applyFill="1" applyBorder="1" applyAlignment="1">
      <alignment horizontal="left" vertical="center" wrapText="1"/>
    </xf>
    <xf numFmtId="0" fontId="61" fillId="7" borderId="33" xfId="2" applyFont="1" applyFill="1" applyBorder="1" applyAlignment="1">
      <alignment horizontal="left" vertical="center" wrapText="1"/>
    </xf>
    <xf numFmtId="166" fontId="40" fillId="7" borderId="3" xfId="2" applyNumberFormat="1" applyFont="1" applyFill="1" applyBorder="1" applyAlignment="1">
      <alignment horizontal="center" vertical="center" wrapText="1"/>
    </xf>
    <xf numFmtId="166" fontId="40" fillId="7" borderId="4" xfId="2" applyNumberFormat="1" applyFont="1" applyFill="1" applyBorder="1" applyAlignment="1">
      <alignment horizontal="center" vertical="center" wrapText="1"/>
    </xf>
    <xf numFmtId="0" fontId="52" fillId="2" borderId="3" xfId="2" applyFont="1" applyFill="1" applyBorder="1" applyAlignment="1">
      <alignment horizontal="left" vertical="center" wrapText="1"/>
    </xf>
    <xf numFmtId="0" fontId="52" fillId="2" borderId="4" xfId="2" applyFont="1" applyFill="1" applyBorder="1" applyAlignment="1">
      <alignment horizontal="left" vertical="center" wrapText="1"/>
    </xf>
    <xf numFmtId="0" fontId="52" fillId="2" borderId="5" xfId="2" applyFont="1" applyFill="1" applyBorder="1" applyAlignment="1">
      <alignment horizontal="left" vertical="center" wrapText="1"/>
    </xf>
    <xf numFmtId="0" fontId="46" fillId="2" borderId="3" xfId="2" applyFont="1" applyFill="1" applyBorder="1" applyAlignment="1">
      <alignment horizontal="center" vertical="center" wrapText="1"/>
    </xf>
    <xf numFmtId="0" fontId="46" fillId="2" borderId="4" xfId="2" applyFont="1" applyFill="1" applyBorder="1" applyAlignment="1">
      <alignment horizontal="center" vertical="center" wrapText="1"/>
    </xf>
    <xf numFmtId="0" fontId="53" fillId="0" borderId="3" xfId="2" applyFont="1" applyFill="1" applyBorder="1" applyAlignment="1">
      <alignment vertical="center" wrapText="1"/>
    </xf>
    <xf numFmtId="0" fontId="53" fillId="0" borderId="4" xfId="2" applyFont="1" applyFill="1" applyBorder="1" applyAlignment="1">
      <alignment vertical="center" wrapText="1"/>
    </xf>
    <xf numFmtId="0" fontId="53" fillId="0" borderId="5" xfId="2" applyFont="1" applyFill="1" applyBorder="1" applyAlignment="1">
      <alignment vertical="center" wrapText="1"/>
    </xf>
    <xf numFmtId="0" fontId="53" fillId="0" borderId="2" xfId="2" applyFont="1" applyFill="1" applyBorder="1" applyAlignment="1">
      <alignment horizontal="center" vertical="center" wrapText="1"/>
    </xf>
    <xf numFmtId="0" fontId="53" fillId="0" borderId="3" xfId="2" applyFont="1" applyFill="1" applyBorder="1" applyAlignment="1">
      <alignment horizontal="center" vertical="center" wrapText="1"/>
    </xf>
    <xf numFmtId="0" fontId="53" fillId="0" borderId="4" xfId="2" applyFont="1" applyFill="1" applyBorder="1" applyAlignment="1">
      <alignment horizontal="center" vertical="center" wrapText="1"/>
    </xf>
    <xf numFmtId="0" fontId="47" fillId="7" borderId="3" xfId="2" applyFont="1" applyFill="1" applyBorder="1" applyAlignment="1">
      <alignment horizontal="center" vertical="center" wrapText="1"/>
    </xf>
    <xf numFmtId="0" fontId="47" fillId="7" borderId="4" xfId="2" applyFont="1" applyFill="1" applyBorder="1" applyAlignment="1">
      <alignment horizontal="center" vertical="center" wrapText="1"/>
    </xf>
    <xf numFmtId="0" fontId="53" fillId="2" borderId="3" xfId="2" applyFont="1" applyFill="1" applyBorder="1" applyAlignment="1">
      <alignment horizontal="left" vertical="center" wrapText="1"/>
    </xf>
    <xf numFmtId="0" fontId="53" fillId="2" borderId="4" xfId="2" applyFont="1" applyFill="1" applyBorder="1" applyAlignment="1">
      <alignment horizontal="left" vertical="center" wrapText="1"/>
    </xf>
    <xf numFmtId="0" fontId="53" fillId="2" borderId="5" xfId="2" applyFont="1" applyFill="1" applyBorder="1" applyAlignment="1">
      <alignment horizontal="left" vertical="center" wrapText="1"/>
    </xf>
    <xf numFmtId="0" fontId="53" fillId="0" borderId="3" xfId="2" applyFont="1" applyFill="1" applyBorder="1" applyAlignment="1">
      <alignment horizontal="left" vertical="center" wrapText="1"/>
    </xf>
    <xf numFmtId="0" fontId="53" fillId="0" borderId="4" xfId="2" applyFont="1" applyFill="1" applyBorder="1" applyAlignment="1">
      <alignment horizontal="left" vertical="center" wrapText="1"/>
    </xf>
    <xf numFmtId="0" fontId="53" fillId="0" borderId="5" xfId="2" applyFont="1" applyFill="1" applyBorder="1" applyAlignment="1">
      <alignment horizontal="left" vertical="center" wrapText="1"/>
    </xf>
    <xf numFmtId="0" fontId="42" fillId="9" borderId="3" xfId="2" applyFont="1" applyFill="1" applyBorder="1" applyAlignment="1">
      <alignment horizontal="left" vertical="center" wrapText="1"/>
    </xf>
    <xf numFmtId="0" fontId="42" fillId="9" borderId="4" xfId="2" applyFont="1" applyFill="1" applyBorder="1" applyAlignment="1">
      <alignment horizontal="left" vertical="center" wrapText="1"/>
    </xf>
    <xf numFmtId="0" fontId="42" fillId="9" borderId="5" xfId="2" applyFont="1" applyFill="1" applyBorder="1" applyAlignment="1">
      <alignment horizontal="left" vertical="center" wrapText="1"/>
    </xf>
    <xf numFmtId="14" fontId="47" fillId="9" borderId="48" xfId="2" applyNumberFormat="1" applyFont="1" applyFill="1" applyBorder="1" applyAlignment="1">
      <alignment horizontal="center" vertical="center" wrapText="1"/>
    </xf>
    <xf numFmtId="14" fontId="47" fillId="9" borderId="46" xfId="2" applyNumberFormat="1" applyFont="1" applyFill="1" applyBorder="1" applyAlignment="1">
      <alignment horizontal="center" vertical="center" wrapText="1"/>
    </xf>
    <xf numFmtId="14" fontId="47" fillId="9" borderId="17" xfId="2" applyNumberFormat="1" applyFont="1" applyFill="1" applyBorder="1" applyAlignment="1">
      <alignment horizontal="center" vertical="center" wrapText="1"/>
    </xf>
    <xf numFmtId="14" fontId="47" fillId="9" borderId="18" xfId="2" applyNumberFormat="1" applyFont="1" applyFill="1" applyBorder="1" applyAlignment="1">
      <alignment horizontal="center" vertical="center" wrapText="1"/>
    </xf>
    <xf numFmtId="0" fontId="40" fillId="7" borderId="25" xfId="2" applyFont="1" applyFill="1" applyBorder="1" applyAlignment="1">
      <alignment horizontal="center" vertical="center" wrapText="1"/>
    </xf>
    <xf numFmtId="0" fontId="40" fillId="7" borderId="34" xfId="2" applyFont="1" applyFill="1" applyBorder="1" applyAlignment="1">
      <alignment horizontal="center" vertical="center" wrapText="1"/>
    </xf>
    <xf numFmtId="0" fontId="40" fillId="7" borderId="32" xfId="2" applyFont="1" applyFill="1" applyBorder="1" applyAlignment="1">
      <alignment horizontal="center" vertical="center" wrapText="1"/>
    </xf>
    <xf numFmtId="0" fontId="40" fillId="7" borderId="35" xfId="2" applyFont="1" applyFill="1" applyBorder="1" applyAlignment="1">
      <alignment horizontal="center" vertical="center" wrapText="1"/>
    </xf>
    <xf numFmtId="14" fontId="57" fillId="9" borderId="25" xfId="2" applyNumberFormat="1" applyFont="1" applyFill="1" applyBorder="1" applyAlignment="1">
      <alignment horizontal="center" vertical="center" wrapText="1"/>
    </xf>
    <xf numFmtId="14" fontId="57" fillId="9" borderId="34" xfId="2" applyNumberFormat="1" applyFont="1" applyFill="1" applyBorder="1" applyAlignment="1">
      <alignment horizontal="center" vertical="center" wrapText="1"/>
    </xf>
    <xf numFmtId="14" fontId="57" fillId="9" borderId="26" xfId="2" applyNumberFormat="1" applyFont="1" applyFill="1" applyBorder="1" applyAlignment="1">
      <alignment horizontal="center" vertical="center" wrapText="1"/>
    </xf>
    <xf numFmtId="14" fontId="57" fillId="9" borderId="27" xfId="2" applyNumberFormat="1" applyFont="1" applyFill="1" applyBorder="1" applyAlignment="1">
      <alignment horizontal="center" vertical="center" wrapText="1"/>
    </xf>
    <xf numFmtId="14" fontId="57" fillId="9" borderId="0" xfId="2" applyNumberFormat="1" applyFont="1" applyFill="1" applyBorder="1" applyAlignment="1">
      <alignment horizontal="center" vertical="center" wrapText="1"/>
    </xf>
    <xf numFmtId="14" fontId="57" fillId="9" borderId="28" xfId="2" applyNumberFormat="1" applyFont="1" applyFill="1" applyBorder="1" applyAlignment="1">
      <alignment horizontal="center" vertical="center" wrapText="1"/>
    </xf>
    <xf numFmtId="14" fontId="57" fillId="9" borderId="32" xfId="2" applyNumberFormat="1" applyFont="1" applyFill="1" applyBorder="1" applyAlignment="1">
      <alignment horizontal="center" vertical="center" wrapText="1"/>
    </xf>
    <xf numFmtId="14" fontId="57" fillId="9" borderId="35" xfId="2" applyNumberFormat="1" applyFont="1" applyFill="1" applyBorder="1" applyAlignment="1">
      <alignment horizontal="center" vertical="center" wrapText="1"/>
    </xf>
    <xf numFmtId="14" fontId="57" fillId="9" borderId="47" xfId="2" applyNumberFormat="1" applyFont="1" applyFill="1" applyBorder="1" applyAlignment="1">
      <alignment horizontal="center" vertical="center" wrapText="1"/>
    </xf>
    <xf numFmtId="14" fontId="57" fillId="9" borderId="29" xfId="2" applyNumberFormat="1" applyFont="1" applyFill="1" applyBorder="1" applyAlignment="1">
      <alignment horizontal="center" vertical="center" wrapText="1"/>
    </xf>
    <xf numFmtId="14" fontId="57" fillId="9" borderId="30" xfId="2" applyNumberFormat="1" applyFont="1" applyFill="1" applyBorder="1" applyAlignment="1">
      <alignment horizontal="center" vertical="center" wrapText="1"/>
    </xf>
    <xf numFmtId="0" fontId="27" fillId="7" borderId="17" xfId="2" applyFont="1" applyFill="1" applyBorder="1" applyAlignment="1">
      <alignment horizontal="center" vertical="center" wrapText="1"/>
    </xf>
    <xf numFmtId="0" fontId="27" fillId="7" borderId="18" xfId="2" applyFont="1" applyFill="1" applyBorder="1" applyAlignment="1">
      <alignment horizontal="center" vertical="center" wrapText="1"/>
    </xf>
    <xf numFmtId="0" fontId="24" fillId="7" borderId="3" xfId="2" applyFont="1" applyFill="1" applyBorder="1" applyAlignment="1">
      <alignment horizontal="center" vertical="center" wrapText="1"/>
    </xf>
    <xf numFmtId="0" fontId="24" fillId="7" borderId="31" xfId="2" applyFont="1" applyFill="1" applyBorder="1" applyAlignment="1">
      <alignment horizontal="center" vertical="center" wrapText="1"/>
    </xf>
    <xf numFmtId="0" fontId="63" fillId="7" borderId="38" xfId="2" applyFont="1" applyFill="1" applyBorder="1" applyAlignment="1">
      <alignment horizontal="center" vertical="center" wrapText="1"/>
    </xf>
    <xf numFmtId="0" fontId="63" fillId="7" borderId="31" xfId="2" applyFont="1" applyFill="1" applyBorder="1" applyAlignment="1">
      <alignment horizontal="center" vertical="center" wrapText="1"/>
    </xf>
    <xf numFmtId="0" fontId="24" fillId="7" borderId="3" xfId="2" applyFont="1" applyFill="1" applyBorder="1" applyAlignment="1">
      <alignment horizontal="center" wrapText="1"/>
    </xf>
    <xf numFmtId="0" fontId="24" fillId="7" borderId="31" xfId="2" applyFont="1" applyFill="1" applyBorder="1" applyAlignment="1">
      <alignment horizontal="center" wrapText="1"/>
    </xf>
    <xf numFmtId="0" fontId="27" fillId="7" borderId="38" xfId="2" applyFont="1" applyFill="1" applyBorder="1" applyAlignment="1">
      <alignment horizontal="center" vertical="center" wrapText="1"/>
    </xf>
    <xf numFmtId="0" fontId="27" fillId="7" borderId="31" xfId="2" applyFont="1" applyFill="1" applyBorder="1" applyAlignment="1">
      <alignment horizontal="center" vertical="center" wrapText="1"/>
    </xf>
    <xf numFmtId="0" fontId="87" fillId="2" borderId="17" xfId="2" applyFont="1" applyFill="1" applyBorder="1" applyAlignment="1">
      <alignment horizontal="center" vertical="center" wrapText="1"/>
    </xf>
    <xf numFmtId="0" fontId="87" fillId="2" borderId="18" xfId="2" applyFont="1" applyFill="1" applyBorder="1" applyAlignment="1">
      <alignment horizontal="center" vertical="center" wrapText="1"/>
    </xf>
    <xf numFmtId="10" fontId="27" fillId="2" borderId="17" xfId="2" applyNumberFormat="1" applyFont="1" applyFill="1" applyBorder="1" applyAlignment="1">
      <alignment horizontal="center" vertical="center" wrapText="1"/>
    </xf>
    <xf numFmtId="10" fontId="27" fillId="2" borderId="18" xfId="2" applyNumberFormat="1" applyFont="1" applyFill="1" applyBorder="1" applyAlignment="1">
      <alignment horizontal="center" vertical="center" wrapText="1"/>
    </xf>
    <xf numFmtId="0" fontId="27" fillId="2" borderId="17" xfId="2" applyFont="1" applyFill="1" applyBorder="1" applyAlignment="1">
      <alignment horizontal="center" wrapText="1"/>
    </xf>
    <xf numFmtId="0" fontId="27" fillId="2" borderId="18" xfId="2" applyFont="1" applyFill="1" applyBorder="1" applyAlignment="1">
      <alignment horizontal="center" wrapText="1"/>
    </xf>
    <xf numFmtId="0" fontId="24" fillId="7" borderId="3"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4" fillId="7" borderId="2" xfId="2" applyFont="1" applyFill="1" applyBorder="1" applyAlignment="1">
      <alignment horizontal="center" vertical="center" wrapText="1"/>
    </xf>
    <xf numFmtId="0" fontId="26" fillId="2" borderId="3" xfId="2" applyFont="1" applyFill="1" applyBorder="1" applyAlignment="1">
      <alignment vertical="center" wrapText="1"/>
    </xf>
    <xf numFmtId="0" fontId="26" fillId="2" borderId="4" xfId="2" applyFont="1" applyFill="1" applyBorder="1" applyAlignment="1">
      <alignment vertical="center" wrapText="1"/>
    </xf>
    <xf numFmtId="0" fontId="26" fillId="2" borderId="5" xfId="2" applyFont="1" applyFill="1" applyBorder="1" applyAlignment="1">
      <alignment vertical="center" wrapText="1"/>
    </xf>
    <xf numFmtId="14" fontId="21" fillId="2" borderId="3" xfId="2" applyNumberFormat="1" applyFont="1" applyFill="1" applyBorder="1" applyAlignment="1">
      <alignment horizontal="center" vertical="center" wrapText="1"/>
    </xf>
    <xf numFmtId="14" fontId="21" fillId="2" borderId="4" xfId="2" applyNumberFormat="1" applyFont="1" applyFill="1" applyBorder="1" applyAlignment="1">
      <alignment horizontal="center" vertical="center" wrapText="1"/>
    </xf>
    <xf numFmtId="0" fontId="21" fillId="2" borderId="3" xfId="2" applyFont="1" applyFill="1" applyBorder="1" applyAlignment="1">
      <alignment horizontal="center" vertical="center" wrapText="1"/>
    </xf>
    <xf numFmtId="0" fontId="21" fillId="2" borderId="4" xfId="2" applyFont="1" applyFill="1" applyBorder="1" applyAlignment="1">
      <alignment horizontal="center" vertical="center" wrapText="1"/>
    </xf>
    <xf numFmtId="0" fontId="32" fillId="9" borderId="10" xfId="2" applyFont="1" applyFill="1" applyBorder="1" applyAlignment="1">
      <alignment horizontal="center" vertical="center" wrapText="1"/>
    </xf>
    <xf numFmtId="0" fontId="32" fillId="9" borderId="8" xfId="2" applyFont="1" applyFill="1" applyBorder="1" applyAlignment="1">
      <alignment horizontal="center" vertical="center" wrapText="1"/>
    </xf>
    <xf numFmtId="0" fontId="32" fillId="9" borderId="11" xfId="2" applyFont="1" applyFill="1" applyBorder="1" applyAlignment="1">
      <alignment horizontal="center" vertical="center" wrapText="1"/>
    </xf>
    <xf numFmtId="0" fontId="21" fillId="7" borderId="2" xfId="2" applyFont="1" applyFill="1" applyBorder="1" applyAlignment="1">
      <alignment horizontal="center" vertical="center" wrapText="1"/>
    </xf>
    <xf numFmtId="0" fontId="24" fillId="7" borderId="4" xfId="2" applyFont="1" applyFill="1" applyBorder="1" applyAlignment="1">
      <alignment horizontal="center" vertical="center" wrapText="1"/>
    </xf>
    <xf numFmtId="0" fontId="23" fillId="0" borderId="3" xfId="2" applyFont="1" applyFill="1" applyBorder="1" applyAlignment="1">
      <alignment vertical="center" wrapText="1"/>
    </xf>
    <xf numFmtId="0" fontId="23" fillId="0" borderId="4" xfId="2" applyFont="1" applyFill="1" applyBorder="1" applyAlignment="1">
      <alignment vertical="center" wrapText="1"/>
    </xf>
    <xf numFmtId="0" fontId="23" fillId="0" borderId="5" xfId="2" applyFont="1" applyFill="1" applyBorder="1" applyAlignment="1">
      <alignment vertical="center" wrapText="1"/>
    </xf>
    <xf numFmtId="0" fontId="23" fillId="7" borderId="3" xfId="2" applyFont="1" applyFill="1" applyBorder="1" applyAlignment="1">
      <alignment horizontal="center" vertical="center" wrapText="1"/>
    </xf>
    <xf numFmtId="0" fontId="23" fillId="7" borderId="4" xfId="2" applyFont="1" applyFill="1" applyBorder="1" applyAlignment="1">
      <alignment horizontal="center" vertical="center" wrapText="1"/>
    </xf>
    <xf numFmtId="0" fontId="23" fillId="2" borderId="2" xfId="2" applyFont="1" applyFill="1" applyBorder="1" applyAlignment="1">
      <alignment horizontal="center" vertical="center" wrapText="1"/>
    </xf>
    <xf numFmtId="0" fontId="24" fillId="7" borderId="5" xfId="2" applyFont="1" applyFill="1" applyBorder="1" applyAlignment="1">
      <alignment horizontal="center" vertical="center" wrapText="1"/>
    </xf>
    <xf numFmtId="0" fontId="76" fillId="2" borderId="3" xfId="2" applyFont="1" applyFill="1" applyBorder="1" applyAlignment="1">
      <alignment horizontal="left" vertical="center" wrapText="1"/>
    </xf>
    <xf numFmtId="0" fontId="76" fillId="2" borderId="4" xfId="2" applyFont="1" applyFill="1" applyBorder="1" applyAlignment="1">
      <alignment horizontal="left" vertical="center" wrapText="1"/>
    </xf>
    <xf numFmtId="0" fontId="24" fillId="2" borderId="3" xfId="2" applyFont="1" applyFill="1" applyBorder="1" applyAlignment="1">
      <alignment horizontal="center" vertical="center" wrapText="1"/>
    </xf>
    <xf numFmtId="0" fontId="24" fillId="2" borderId="4" xfId="2" applyFont="1" applyFill="1" applyBorder="1" applyAlignment="1">
      <alignment horizontal="center" vertical="center" wrapText="1"/>
    </xf>
    <xf numFmtId="0" fontId="24" fillId="2" borderId="4" xfId="2" applyFont="1" applyFill="1" applyBorder="1" applyAlignment="1">
      <alignment horizontal="left" vertical="center" wrapText="1"/>
    </xf>
    <xf numFmtId="0" fontId="24" fillId="0" borderId="3" xfId="2" applyFont="1" applyFill="1" applyBorder="1" applyAlignment="1">
      <alignment horizontal="left" vertical="center" wrapText="1"/>
    </xf>
    <xf numFmtId="0" fontId="24" fillId="0" borderId="4" xfId="2" applyFont="1" applyFill="1" applyBorder="1" applyAlignment="1">
      <alignment horizontal="left" vertical="center" wrapText="1"/>
    </xf>
    <xf numFmtId="14" fontId="40" fillId="9" borderId="17" xfId="2" applyNumberFormat="1" applyFont="1" applyFill="1" applyBorder="1" applyAlignment="1">
      <alignment horizontal="center" vertical="center" wrapText="1"/>
    </xf>
    <xf numFmtId="14" fontId="40" fillId="9" borderId="18" xfId="2" applyNumberFormat="1" applyFont="1" applyFill="1" applyBorder="1" applyAlignment="1">
      <alignment horizontal="center" vertical="center" wrapText="1"/>
    </xf>
    <xf numFmtId="0" fontId="87" fillId="0" borderId="17" xfId="2" applyFont="1" applyFill="1" applyBorder="1" applyAlignment="1">
      <alignment horizontal="center" vertical="center" wrapText="1"/>
    </xf>
    <xf numFmtId="0" fontId="87" fillId="0" borderId="18" xfId="2" applyFont="1" applyFill="1" applyBorder="1" applyAlignment="1">
      <alignment horizontal="center" vertical="center" wrapText="1"/>
    </xf>
    <xf numFmtId="0" fontId="27" fillId="2" borderId="17" xfId="2" applyFont="1" applyFill="1" applyBorder="1" applyAlignment="1">
      <alignment horizontal="center" vertical="center" wrapText="1"/>
    </xf>
    <xf numFmtId="0" fontId="27" fillId="2" borderId="18" xfId="2" applyFont="1" applyFill="1" applyBorder="1" applyAlignment="1">
      <alignment horizontal="center" vertical="center" wrapText="1"/>
    </xf>
    <xf numFmtId="0" fontId="27" fillId="7" borderId="17" xfId="2" applyFont="1" applyFill="1" applyBorder="1" applyAlignment="1">
      <alignment horizontal="center" wrapText="1"/>
    </xf>
    <xf numFmtId="0" fontId="27" fillId="7" borderId="18" xfId="2" applyFont="1" applyFill="1" applyBorder="1" applyAlignment="1">
      <alignment horizontal="center" wrapText="1"/>
    </xf>
    <xf numFmtId="0" fontId="21" fillId="2" borderId="3" xfId="2" applyFont="1" applyFill="1" applyBorder="1" applyAlignment="1">
      <alignment horizontal="left" vertical="center" wrapText="1"/>
    </xf>
    <xf numFmtId="0" fontId="21" fillId="8" borderId="3" xfId="2" applyFont="1" applyFill="1" applyBorder="1" applyAlignment="1">
      <alignment horizontal="left" vertical="center" wrapText="1"/>
    </xf>
    <xf numFmtId="0" fontId="21" fillId="8" borderId="4" xfId="2" applyFont="1" applyFill="1" applyBorder="1" applyAlignment="1">
      <alignment horizontal="left" vertical="center" wrapText="1"/>
    </xf>
    <xf numFmtId="0" fontId="21" fillId="8" borderId="5" xfId="2" applyFont="1" applyFill="1" applyBorder="1" applyAlignment="1">
      <alignment horizontal="left" vertical="center" wrapText="1"/>
    </xf>
    <xf numFmtId="0" fontId="77" fillId="2" borderId="3" xfId="2" applyFont="1" applyFill="1" applyBorder="1" applyAlignment="1">
      <alignment horizontal="left" vertical="center" wrapText="1"/>
    </xf>
    <xf numFmtId="0" fontId="24" fillId="2" borderId="5" xfId="2" applyFont="1" applyFill="1" applyBorder="1" applyAlignment="1">
      <alignment horizontal="center" vertical="center" wrapText="1"/>
    </xf>
    <xf numFmtId="0" fontId="26" fillId="2" borderId="3" xfId="2" applyFont="1" applyFill="1" applyBorder="1" applyAlignment="1">
      <alignment horizontal="left" vertical="center" wrapText="1"/>
    </xf>
    <xf numFmtId="0" fontId="26" fillId="2" borderId="4"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3" fillId="0" borderId="4" xfId="2" applyFont="1" applyFill="1" applyBorder="1" applyAlignment="1">
      <alignment horizontal="left" vertical="center" wrapText="1"/>
    </xf>
    <xf numFmtId="0" fontId="23" fillId="0" borderId="5" xfId="2" applyFont="1" applyFill="1" applyBorder="1" applyAlignment="1">
      <alignment horizontal="left" vertical="center" wrapText="1"/>
    </xf>
    <xf numFmtId="166" fontId="24" fillId="7" borderId="3" xfId="2" applyNumberFormat="1" applyFont="1" applyFill="1" applyBorder="1" applyAlignment="1">
      <alignment horizontal="center" vertical="center" wrapText="1"/>
    </xf>
    <xf numFmtId="166" fontId="24" fillId="7" borderId="4" xfId="2" applyNumberFormat="1" applyFont="1" applyFill="1" applyBorder="1" applyAlignment="1">
      <alignment horizontal="center" vertical="center" wrapText="1"/>
    </xf>
    <xf numFmtId="0" fontId="24" fillId="2" borderId="5" xfId="2" applyFont="1" applyFill="1" applyBorder="1" applyAlignment="1">
      <alignment horizontal="left" vertical="center" wrapText="1"/>
    </xf>
    <xf numFmtId="0" fontId="21" fillId="2" borderId="2" xfId="2" applyFont="1" applyFill="1" applyBorder="1" applyAlignment="1">
      <alignment horizontal="left" vertical="center" wrapText="1"/>
    </xf>
    <xf numFmtId="0" fontId="24" fillId="2" borderId="2" xfId="2" applyFont="1" applyFill="1" applyBorder="1" applyAlignment="1">
      <alignment horizontal="center" vertical="center" wrapText="1"/>
    </xf>
    <xf numFmtId="0" fontId="78" fillId="0" borderId="4" xfId="0" applyFont="1" applyBorder="1" applyAlignment="1">
      <alignment horizontal="left"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39" fillId="0" borderId="3" xfId="2" applyFont="1" applyFill="1" applyBorder="1" applyAlignment="1">
      <alignment horizontal="left" vertical="center" wrapText="1"/>
    </xf>
    <xf numFmtId="0" fontId="39" fillId="0" borderId="4" xfId="2" applyFont="1" applyFill="1" applyBorder="1" applyAlignment="1">
      <alignment horizontal="left" vertical="center" wrapText="1"/>
    </xf>
    <xf numFmtId="0" fontId="24" fillId="0" borderId="0" xfId="2" applyFont="1" applyAlignment="1">
      <alignment horizontal="center" vertical="center" wrapText="1"/>
    </xf>
    <xf numFmtId="0" fontId="53" fillId="7" borderId="25" xfId="2" applyFont="1" applyFill="1" applyBorder="1" applyAlignment="1">
      <alignment horizontal="center" vertical="center" wrapText="1"/>
    </xf>
    <xf numFmtId="0" fontId="53" fillId="7" borderId="34" xfId="2" applyFont="1" applyFill="1" applyBorder="1" applyAlignment="1">
      <alignment horizontal="center" vertical="center" wrapText="1"/>
    </xf>
    <xf numFmtId="0" fontId="53" fillId="7" borderId="32" xfId="2" applyFont="1" applyFill="1" applyBorder="1" applyAlignment="1">
      <alignment horizontal="center" vertical="center" wrapText="1"/>
    </xf>
    <xf numFmtId="0" fontId="53" fillId="7" borderId="35" xfId="2" applyFont="1" applyFill="1" applyBorder="1" applyAlignment="1">
      <alignment horizontal="center" vertical="center" wrapText="1"/>
    </xf>
    <xf numFmtId="0" fontId="26" fillId="2" borderId="10" xfId="2" applyFont="1" applyFill="1" applyBorder="1" applyAlignment="1">
      <alignment horizontal="center" vertical="center"/>
    </xf>
    <xf numFmtId="0" fontId="26" fillId="2" borderId="8" xfId="2" applyFont="1" applyFill="1" applyBorder="1" applyAlignment="1">
      <alignment horizontal="center" vertical="center"/>
    </xf>
    <xf numFmtId="0" fontId="26" fillId="2" borderId="13" xfId="2" applyFont="1" applyFill="1" applyBorder="1" applyAlignment="1">
      <alignment horizontal="center" vertical="center"/>
    </xf>
    <xf numFmtId="0" fontId="26" fillId="2" borderId="0" xfId="2" applyFont="1" applyFill="1" applyBorder="1" applyAlignment="1">
      <alignment horizontal="center" vertical="center"/>
    </xf>
    <xf numFmtId="14" fontId="24" fillId="2" borderId="3" xfId="2" applyNumberFormat="1" applyFont="1" applyFill="1" applyBorder="1" applyAlignment="1">
      <alignment horizontal="center" vertical="center" wrapText="1"/>
    </xf>
    <xf numFmtId="0" fontId="24" fillId="0" borderId="2" xfId="2" applyFont="1" applyFill="1" applyBorder="1" applyAlignment="1">
      <alignment horizontal="center" vertical="center" wrapText="1"/>
    </xf>
    <xf numFmtId="0" fontId="24" fillId="0" borderId="3" xfId="2" applyFont="1" applyFill="1" applyBorder="1" applyAlignment="1">
      <alignment horizontal="center" vertical="center" wrapText="1"/>
    </xf>
    <xf numFmtId="0" fontId="24" fillId="2" borderId="3" xfId="2" applyFont="1" applyFill="1" applyBorder="1" applyAlignment="1">
      <alignment horizontal="center" wrapText="1"/>
    </xf>
    <xf numFmtId="0" fontId="24" fillId="2" borderId="4" xfId="2" applyFont="1" applyFill="1" applyBorder="1" applyAlignment="1">
      <alignment horizontal="center" wrapText="1"/>
    </xf>
    <xf numFmtId="0" fontId="24" fillId="7" borderId="4" xfId="2" applyFont="1" applyFill="1" applyBorder="1" applyAlignment="1">
      <alignment horizontal="center" wrapText="1"/>
    </xf>
    <xf numFmtId="0" fontId="24" fillId="7" borderId="5" xfId="2" applyFont="1" applyFill="1" applyBorder="1" applyAlignment="1">
      <alignment horizontal="center" wrapText="1"/>
    </xf>
    <xf numFmtId="0" fontId="21" fillId="2" borderId="4"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39" fillId="2" borderId="3" xfId="2" applyFont="1" applyFill="1" applyBorder="1" applyAlignment="1">
      <alignment horizontal="left" vertical="center" wrapText="1"/>
    </xf>
    <xf numFmtId="0" fontId="39" fillId="2" borderId="4" xfId="2" applyFont="1" applyFill="1" applyBorder="1" applyAlignment="1">
      <alignment horizontal="left" vertical="center" wrapText="1"/>
    </xf>
    <xf numFmtId="10" fontId="24" fillId="2" borderId="3" xfId="2" applyNumberFormat="1" applyFont="1" applyFill="1" applyBorder="1" applyAlignment="1">
      <alignment horizontal="center" vertical="center" wrapText="1"/>
    </xf>
    <xf numFmtId="10" fontId="24" fillId="2" borderId="5" xfId="2" applyNumberFormat="1" applyFont="1" applyFill="1" applyBorder="1" applyAlignment="1">
      <alignment horizontal="center" vertical="center" wrapText="1"/>
    </xf>
    <xf numFmtId="10" fontId="24" fillId="7" borderId="3" xfId="2" applyNumberFormat="1" applyFont="1" applyFill="1" applyBorder="1" applyAlignment="1">
      <alignment horizontal="center" vertical="center" wrapText="1"/>
    </xf>
    <xf numFmtId="0" fontId="63" fillId="0" borderId="0" xfId="2" applyFont="1" applyBorder="1" applyAlignment="1">
      <alignment horizontal="center" vertical="center" wrapText="1"/>
    </xf>
    <xf numFmtId="0" fontId="37" fillId="7" borderId="3" xfId="2" applyFont="1" applyFill="1" applyBorder="1" applyAlignment="1">
      <alignment horizontal="center" vertical="center" wrapText="1"/>
    </xf>
    <xf numFmtId="166" fontId="63" fillId="9" borderId="17" xfId="2" applyNumberFormat="1" applyFont="1" applyFill="1" applyBorder="1" applyAlignment="1">
      <alignment horizontal="center" vertical="center" wrapText="1"/>
    </xf>
    <xf numFmtId="166" fontId="63" fillId="9" borderId="18" xfId="2" applyNumberFormat="1" applyFont="1" applyFill="1" applyBorder="1" applyAlignment="1">
      <alignment horizontal="center" vertical="center" wrapText="1"/>
    </xf>
    <xf numFmtId="0" fontId="23" fillId="7" borderId="17" xfId="2" applyFont="1" applyFill="1" applyBorder="1" applyAlignment="1">
      <alignment horizontal="center" vertical="center" wrapText="1"/>
    </xf>
    <xf numFmtId="0" fontId="23" fillId="7" borderId="18" xfId="2" applyFont="1" applyFill="1" applyBorder="1" applyAlignment="1">
      <alignment horizontal="center" vertical="center" wrapText="1"/>
    </xf>
    <xf numFmtId="14" fontId="27" fillId="9" borderId="17" xfId="2" applyNumberFormat="1" applyFont="1" applyFill="1" applyBorder="1" applyAlignment="1">
      <alignment horizontal="center" vertical="center" wrapText="1"/>
    </xf>
    <xf numFmtId="0" fontId="27" fillId="9" borderId="18" xfId="2" applyFont="1" applyFill="1" applyBorder="1" applyAlignment="1">
      <alignment horizontal="center" vertical="center" wrapText="1"/>
    </xf>
    <xf numFmtId="0" fontId="55" fillId="9" borderId="17" xfId="2" applyFont="1" applyFill="1" applyBorder="1" applyAlignment="1">
      <alignment horizontal="center" vertical="center" wrapText="1"/>
    </xf>
    <xf numFmtId="0" fontId="55" fillId="9" borderId="18" xfId="2" applyFont="1" applyFill="1" applyBorder="1" applyAlignment="1">
      <alignment horizontal="center" vertical="center" wrapText="1"/>
    </xf>
    <xf numFmtId="0" fontId="34" fillId="2" borderId="17" xfId="2" applyFont="1" applyFill="1" applyBorder="1" applyAlignment="1">
      <alignment horizontal="center" vertical="center" wrapText="1"/>
    </xf>
    <xf numFmtId="0" fontId="34" fillId="2" borderId="18" xfId="2" applyFont="1" applyFill="1" applyBorder="1" applyAlignment="1">
      <alignment horizontal="center" vertical="center" wrapText="1"/>
    </xf>
    <xf numFmtId="0" fontId="63" fillId="7" borderId="17" xfId="2" applyFont="1" applyFill="1" applyBorder="1" applyAlignment="1">
      <alignment horizontal="center" vertical="center" wrapText="1"/>
    </xf>
    <xf numFmtId="0" fontId="63" fillId="7" borderId="18" xfId="2" applyFont="1" applyFill="1" applyBorder="1" applyAlignment="1">
      <alignment horizontal="center" vertical="center" wrapText="1"/>
    </xf>
    <xf numFmtId="0" fontId="65" fillId="2" borderId="17" xfId="2" applyFont="1" applyFill="1" applyBorder="1" applyAlignment="1">
      <alignment horizontal="center" vertical="center"/>
    </xf>
    <xf numFmtId="0" fontId="65" fillId="2" borderId="18" xfId="2" applyFont="1" applyFill="1" applyBorder="1" applyAlignment="1">
      <alignment horizontal="center" vertical="center"/>
    </xf>
    <xf numFmtId="0" fontId="55" fillId="7" borderId="17" xfId="2" applyFont="1" applyFill="1" applyBorder="1" applyAlignment="1">
      <alignment horizontal="center" vertical="center" wrapText="1"/>
    </xf>
    <xf numFmtId="0" fontId="55" fillId="7" borderId="18" xfId="2" applyFont="1" applyFill="1" applyBorder="1" applyAlignment="1">
      <alignment horizontal="center" vertical="center" wrapText="1"/>
    </xf>
    <xf numFmtId="0" fontId="63" fillId="0" borderId="17" xfId="2" applyFont="1" applyFill="1" applyBorder="1" applyAlignment="1">
      <alignment horizontal="center" vertical="center" wrapText="1"/>
    </xf>
    <xf numFmtId="0" fontId="63" fillId="0" borderId="18" xfId="2" applyFont="1" applyFill="1" applyBorder="1" applyAlignment="1">
      <alignment horizontal="center" vertical="center" wrapText="1"/>
    </xf>
    <xf numFmtId="0" fontId="67" fillId="7" borderId="17" xfId="2" applyFont="1" applyFill="1" applyBorder="1" applyAlignment="1">
      <alignment horizontal="center" vertical="center" wrapText="1"/>
    </xf>
    <xf numFmtId="0" fontId="67" fillId="7" borderId="18" xfId="2" applyFont="1" applyFill="1" applyBorder="1" applyAlignment="1">
      <alignment horizontal="center" vertical="center" wrapText="1"/>
    </xf>
    <xf numFmtId="0" fontId="37" fillId="7" borderId="2" xfId="2" applyFont="1" applyFill="1" applyBorder="1" applyAlignment="1">
      <alignment horizontal="left" vertical="center" wrapText="1"/>
    </xf>
    <xf numFmtId="0" fontId="37" fillId="7" borderId="3" xfId="2" applyFont="1" applyFill="1" applyBorder="1" applyAlignment="1">
      <alignment horizontal="left" vertical="center" wrapText="1"/>
    </xf>
    <xf numFmtId="10" fontId="24" fillId="2" borderId="2" xfId="2" applyNumberFormat="1" applyFont="1" applyFill="1" applyBorder="1" applyAlignment="1">
      <alignment horizontal="center" vertical="center" wrapText="1"/>
    </xf>
    <xf numFmtId="0" fontId="80" fillId="2" borderId="3" xfId="2" applyFont="1" applyFill="1" applyBorder="1" applyAlignment="1">
      <alignment horizontal="left" vertical="center" wrapText="1"/>
    </xf>
    <xf numFmtId="0" fontId="80" fillId="2" borderId="4" xfId="2" applyFont="1" applyFill="1" applyBorder="1" applyAlignment="1">
      <alignment horizontal="left" vertical="center" wrapText="1"/>
    </xf>
    <xf numFmtId="0" fontId="66" fillId="2" borderId="38" xfId="2" applyFont="1" applyFill="1" applyBorder="1" applyAlignment="1">
      <alignment horizontal="center" vertical="center" wrapText="1"/>
    </xf>
    <xf numFmtId="0" fontId="66" fillId="2" borderId="31" xfId="2" applyFont="1" applyFill="1" applyBorder="1" applyAlignment="1">
      <alignment horizontal="center" vertical="center" wrapText="1"/>
    </xf>
    <xf numFmtId="0" fontId="63" fillId="7" borderId="38" xfId="2" applyFont="1" applyFill="1" applyBorder="1" applyAlignment="1">
      <alignment horizontal="center" wrapText="1"/>
    </xf>
    <xf numFmtId="0" fontId="63" fillId="7" borderId="31" xfId="2" applyFont="1" applyFill="1" applyBorder="1" applyAlignment="1">
      <alignment horizontal="center" wrapText="1"/>
    </xf>
    <xf numFmtId="0" fontId="66" fillId="0" borderId="38" xfId="2" applyFont="1" applyFill="1" applyBorder="1" applyAlignment="1">
      <alignment horizontal="center" vertical="center" wrapText="1"/>
    </xf>
    <xf numFmtId="0" fontId="66" fillId="0" borderId="31" xfId="2" applyFont="1" applyFill="1" applyBorder="1" applyAlignment="1">
      <alignment horizontal="center" vertical="center" wrapText="1"/>
    </xf>
    <xf numFmtId="0" fontId="23" fillId="7" borderId="2" xfId="2" applyFont="1" applyFill="1" applyBorder="1" applyAlignment="1">
      <alignment horizontal="left" vertical="center" wrapText="1"/>
    </xf>
    <xf numFmtId="0" fontId="23" fillId="7" borderId="3" xfId="2" applyFont="1" applyFill="1" applyBorder="1" applyAlignment="1">
      <alignment horizontal="left" vertical="center" wrapText="1"/>
    </xf>
    <xf numFmtId="0" fontId="23" fillId="7" borderId="2" xfId="2" applyFont="1" applyFill="1" applyBorder="1" applyAlignment="1">
      <alignment horizontal="center" vertical="center" wrapText="1"/>
    </xf>
    <xf numFmtId="0" fontId="26" fillId="0" borderId="3" xfId="2" applyFont="1" applyFill="1" applyBorder="1" applyAlignment="1">
      <alignment vertical="center" wrapText="1"/>
    </xf>
    <xf numFmtId="0" fontId="26" fillId="0" borderId="4" xfId="2" applyFont="1" applyFill="1" applyBorder="1" applyAlignment="1">
      <alignment vertical="center" wrapText="1"/>
    </xf>
    <xf numFmtId="0" fontId="26" fillId="0" borderId="5" xfId="2" applyFont="1" applyFill="1" applyBorder="1" applyAlignment="1">
      <alignment vertical="center" wrapText="1"/>
    </xf>
    <xf numFmtId="14" fontId="24" fillId="0" borderId="3" xfId="2" applyNumberFormat="1" applyFont="1" applyFill="1" applyBorder="1" applyAlignment="1">
      <alignment horizontal="center" vertical="center" wrapText="1"/>
    </xf>
    <xf numFmtId="0" fontId="24" fillId="0" borderId="4" xfId="2" applyFont="1" applyFill="1" applyBorder="1" applyAlignment="1">
      <alignment horizontal="center" vertical="center" wrapText="1"/>
    </xf>
    <xf numFmtId="0" fontId="21" fillId="7" borderId="3" xfId="2" applyFont="1" applyFill="1" applyBorder="1" applyAlignment="1">
      <alignment horizontal="center" vertical="center" wrapText="1"/>
    </xf>
    <xf numFmtId="0" fontId="21" fillId="7" borderId="4" xfId="2" applyFont="1" applyFill="1" applyBorder="1" applyAlignment="1">
      <alignment horizontal="center" vertical="center" wrapText="1"/>
    </xf>
    <xf numFmtId="0" fontId="21" fillId="2" borderId="5" xfId="2" applyFont="1" applyFill="1" applyBorder="1" applyAlignment="1">
      <alignment horizontal="center" vertical="center" wrapText="1"/>
    </xf>
    <xf numFmtId="0" fontId="63" fillId="0" borderId="22" xfId="2" applyFont="1" applyBorder="1" applyAlignment="1">
      <alignment horizontal="center" vertical="center" wrapText="1"/>
    </xf>
    <xf numFmtId="0" fontId="63" fillId="0" borderId="24" xfId="2" applyFont="1" applyBorder="1" applyAlignment="1">
      <alignment horizontal="center" vertical="center" wrapText="1"/>
    </xf>
    <xf numFmtId="166" fontId="63" fillId="7" borderId="17" xfId="2" applyNumberFormat="1" applyFont="1" applyFill="1" applyBorder="1" applyAlignment="1">
      <alignment horizontal="center" vertical="center" wrapText="1"/>
    </xf>
    <xf numFmtId="166" fontId="63" fillId="7" borderId="18" xfId="2" applyNumberFormat="1" applyFont="1" applyFill="1" applyBorder="1" applyAlignment="1">
      <alignment horizontal="center" vertical="center" wrapText="1"/>
    </xf>
    <xf numFmtId="0" fontId="64" fillId="7" borderId="17" xfId="2" applyFont="1" applyFill="1" applyBorder="1" applyAlignment="1">
      <alignment horizontal="center" vertical="center" wrapText="1"/>
    </xf>
    <xf numFmtId="0" fontId="64" fillId="7" borderId="18" xfId="2" applyFont="1" applyFill="1" applyBorder="1" applyAlignment="1">
      <alignment horizontal="center" vertical="center" wrapText="1"/>
    </xf>
    <xf numFmtId="14" fontId="40" fillId="9" borderId="36" xfId="2" applyNumberFormat="1" applyFont="1" applyFill="1" applyBorder="1" applyAlignment="1">
      <alignment horizontal="center" vertical="center" wrapText="1"/>
    </xf>
    <xf numFmtId="14" fontId="40" fillId="9" borderId="37" xfId="2" applyNumberFormat="1" applyFont="1" applyFill="1" applyBorder="1" applyAlignment="1">
      <alignment horizontal="center" vertical="center" wrapText="1"/>
    </xf>
    <xf numFmtId="14" fontId="40" fillId="9" borderId="27" xfId="2" applyNumberFormat="1" applyFont="1" applyFill="1" applyBorder="1" applyAlignment="1">
      <alignment horizontal="center" vertical="center" wrapText="1"/>
    </xf>
    <xf numFmtId="14" fontId="40" fillId="9" borderId="28" xfId="2" applyNumberFormat="1" applyFont="1" applyFill="1" applyBorder="1" applyAlignment="1">
      <alignment horizontal="center" vertical="center" wrapText="1"/>
    </xf>
    <xf numFmtId="14" fontId="40" fillId="9" borderId="29" xfId="2" applyNumberFormat="1" applyFont="1" applyFill="1" applyBorder="1" applyAlignment="1">
      <alignment horizontal="center" vertical="center" wrapText="1"/>
    </xf>
    <xf numFmtId="14" fontId="40" fillId="9" borderId="30" xfId="2" applyNumberFormat="1" applyFont="1" applyFill="1" applyBorder="1" applyAlignment="1">
      <alignment horizontal="center" vertical="center" wrapText="1"/>
    </xf>
    <xf numFmtId="0" fontId="35" fillId="0" borderId="38" xfId="0" applyFont="1" applyBorder="1" applyAlignment="1">
      <alignment horizontal="center"/>
    </xf>
    <xf numFmtId="0" fontId="35" fillId="0" borderId="31" xfId="0" applyFont="1" applyBorder="1" applyAlignment="1">
      <alignment horizontal="center"/>
    </xf>
    <xf numFmtId="0" fontId="35" fillId="7" borderId="38" xfId="0" applyFont="1" applyFill="1" applyBorder="1" applyAlignment="1">
      <alignment horizontal="center"/>
    </xf>
    <xf numFmtId="0" fontId="35" fillId="7" borderId="31" xfId="0" applyFont="1" applyFill="1" applyBorder="1" applyAlignment="1">
      <alignment horizontal="center"/>
    </xf>
    <xf numFmtId="0" fontId="64" fillId="7" borderId="38" xfId="2" applyFont="1" applyFill="1" applyBorder="1" applyAlignment="1">
      <alignment horizontal="center" vertical="center" wrapText="1"/>
    </xf>
    <xf numFmtId="0" fontId="64" fillId="7" borderId="31" xfId="2" applyFont="1" applyFill="1" applyBorder="1" applyAlignment="1">
      <alignment horizontal="center" vertical="center" wrapText="1"/>
    </xf>
    <xf numFmtId="0" fontId="23" fillId="7" borderId="3" xfId="2" applyFont="1" applyFill="1" applyBorder="1" applyAlignment="1">
      <alignment horizontal="center" wrapText="1"/>
    </xf>
    <xf numFmtId="0" fontId="23" fillId="7" borderId="4" xfId="2" applyFont="1" applyFill="1" applyBorder="1" applyAlignment="1">
      <alignment horizontal="center" wrapText="1"/>
    </xf>
    <xf numFmtId="0" fontId="64" fillId="2" borderId="38" xfId="2" applyFont="1" applyFill="1" applyBorder="1" applyAlignment="1">
      <alignment horizontal="center" wrapText="1"/>
    </xf>
    <xf numFmtId="0" fontId="64" fillId="2" borderId="31" xfId="2" applyFont="1" applyFill="1" applyBorder="1" applyAlignment="1">
      <alignment horizontal="center" wrapText="1"/>
    </xf>
    <xf numFmtId="0" fontId="64" fillId="7" borderId="38" xfId="2" applyFont="1" applyFill="1" applyBorder="1" applyAlignment="1">
      <alignment horizontal="center" wrapText="1"/>
    </xf>
    <xf numFmtId="0" fontId="64" fillId="7" borderId="31" xfId="2" applyFont="1" applyFill="1" applyBorder="1" applyAlignment="1">
      <alignment horizontal="center" wrapText="1"/>
    </xf>
    <xf numFmtId="10" fontId="64" fillId="2" borderId="38" xfId="2" applyNumberFormat="1" applyFont="1" applyFill="1" applyBorder="1" applyAlignment="1">
      <alignment horizontal="center" vertical="center" wrapText="1"/>
    </xf>
    <xf numFmtId="10" fontId="64" fillId="2" borderId="31" xfId="2" applyNumberFormat="1" applyFont="1" applyFill="1" applyBorder="1" applyAlignment="1">
      <alignment horizontal="center" vertical="center" wrapText="1"/>
    </xf>
    <xf numFmtId="0" fontId="35" fillId="0" borderId="39" xfId="0" applyFont="1" applyBorder="1" applyAlignment="1">
      <alignment horizontal="center"/>
    </xf>
    <xf numFmtId="0" fontId="35" fillId="0" borderId="40" xfId="0" applyFont="1" applyBorder="1" applyAlignment="1">
      <alignment horizontal="center"/>
    </xf>
    <xf numFmtId="0" fontId="21" fillId="0" borderId="3" xfId="2" applyFont="1" applyFill="1" applyBorder="1" applyAlignment="1">
      <alignment horizontal="left" vertical="center" wrapText="1"/>
    </xf>
    <xf numFmtId="0" fontId="21" fillId="0" borderId="4" xfId="2" applyFont="1" applyFill="1" applyBorder="1" applyAlignment="1">
      <alignment horizontal="left" vertical="center" wrapText="1"/>
    </xf>
    <xf numFmtId="0" fontId="21" fillId="0" borderId="5" xfId="2" applyFont="1" applyFill="1" applyBorder="1" applyAlignment="1">
      <alignment horizontal="left" vertical="center" wrapText="1"/>
    </xf>
    <xf numFmtId="0" fontId="26" fillId="0" borderId="3" xfId="2" applyFont="1" applyFill="1" applyBorder="1" applyAlignment="1">
      <alignment horizontal="left" vertical="center" wrapText="1"/>
    </xf>
    <xf numFmtId="0" fontId="26" fillId="0" borderId="4" xfId="2" applyFont="1" applyFill="1" applyBorder="1" applyAlignment="1">
      <alignment horizontal="left" vertical="center" wrapText="1"/>
    </xf>
    <xf numFmtId="0" fontId="23" fillId="2" borderId="3" xfId="2" applyFont="1" applyFill="1" applyBorder="1" applyAlignment="1">
      <alignment horizontal="center" vertical="center" wrapText="1"/>
    </xf>
    <xf numFmtId="0" fontId="23" fillId="2" borderId="4" xfId="2" applyFont="1" applyFill="1" applyBorder="1" applyAlignment="1">
      <alignment horizontal="center" vertical="center" wrapText="1"/>
    </xf>
    <xf numFmtId="0" fontId="24" fillId="2" borderId="10"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4" fillId="2" borderId="13" xfId="2" applyFont="1" applyFill="1" applyBorder="1" applyAlignment="1">
      <alignment horizontal="center" vertical="center" wrapText="1"/>
    </xf>
    <xf numFmtId="0" fontId="24" fillId="2" borderId="0" xfId="2" applyFont="1" applyFill="1" applyBorder="1" applyAlignment="1">
      <alignment horizontal="center" vertical="center" wrapText="1"/>
    </xf>
    <xf numFmtId="0" fontId="27" fillId="9" borderId="17" xfId="2" applyFont="1" applyFill="1" applyBorder="1" applyAlignment="1">
      <alignment horizontal="center" vertical="center" wrapText="1"/>
    </xf>
    <xf numFmtId="0" fontId="55" fillId="2" borderId="17" xfId="2" applyFont="1" applyFill="1" applyBorder="1" applyAlignment="1">
      <alignment horizontal="center" vertical="center" wrapText="1"/>
    </xf>
    <xf numFmtId="0" fontId="55" fillId="2" borderId="18" xfId="2" applyFont="1" applyFill="1" applyBorder="1" applyAlignment="1">
      <alignment horizontal="center" vertical="center" wrapText="1"/>
    </xf>
    <xf numFmtId="0" fontId="35" fillId="0" borderId="17" xfId="0" applyFont="1" applyBorder="1" applyAlignment="1">
      <alignment horizontal="center"/>
    </xf>
    <xf numFmtId="0" fontId="35" fillId="0" borderId="18" xfId="0" applyFont="1" applyBorder="1" applyAlignment="1">
      <alignment horizontal="center"/>
    </xf>
    <xf numFmtId="0" fontId="66" fillId="0" borderId="38" xfId="0" applyFont="1" applyBorder="1" applyAlignment="1">
      <alignment horizontal="center"/>
    </xf>
    <xf numFmtId="0" fontId="66" fillId="0" borderId="31" xfId="0" applyFont="1" applyBorder="1" applyAlignment="1">
      <alignment horizontal="center"/>
    </xf>
    <xf numFmtId="0" fontId="23" fillId="2" borderId="3" xfId="2" applyFont="1" applyFill="1" applyBorder="1" applyAlignment="1">
      <alignment horizontal="center" wrapText="1"/>
    </xf>
    <xf numFmtId="0" fontId="23" fillId="2" borderId="31" xfId="2" applyFont="1" applyFill="1" applyBorder="1" applyAlignment="1">
      <alignment horizontal="center" wrapText="1"/>
    </xf>
    <xf numFmtId="0" fontId="23" fillId="7" borderId="31" xfId="2" applyFont="1" applyFill="1" applyBorder="1" applyAlignment="1">
      <alignment horizontal="center" wrapText="1"/>
    </xf>
    <xf numFmtId="0" fontId="23" fillId="7" borderId="31" xfId="2" applyFont="1" applyFill="1" applyBorder="1" applyAlignment="1">
      <alignment horizontal="center" vertical="center" wrapText="1"/>
    </xf>
    <xf numFmtId="0" fontId="64" fillId="2" borderId="38" xfId="2" applyFont="1" applyFill="1" applyBorder="1" applyAlignment="1">
      <alignment horizontal="center" vertical="center" wrapText="1"/>
    </xf>
    <xf numFmtId="0" fontId="64" fillId="2" borderId="31" xfId="2" applyFont="1" applyFill="1" applyBorder="1" applyAlignment="1">
      <alignment horizontal="center" vertical="center" wrapText="1"/>
    </xf>
    <xf numFmtId="0" fontId="35" fillId="0" borderId="22" xfId="0" applyFont="1" applyBorder="1" applyAlignment="1">
      <alignment horizontal="center"/>
    </xf>
    <xf numFmtId="0" fontId="35" fillId="0" borderId="24" xfId="0" applyFont="1" applyBorder="1" applyAlignment="1">
      <alignment horizontal="center"/>
    </xf>
    <xf numFmtId="0" fontId="38" fillId="2" borderId="3" xfId="2" applyFont="1" applyFill="1" applyBorder="1" applyAlignment="1">
      <alignment horizontal="left" vertical="center" wrapText="1"/>
    </xf>
    <xf numFmtId="0" fontId="38" fillId="2" borderId="4" xfId="2" applyFont="1" applyFill="1" applyBorder="1" applyAlignment="1">
      <alignment horizontal="left" vertical="center" wrapText="1"/>
    </xf>
    <xf numFmtId="0" fontId="59" fillId="0" borderId="4" xfId="0" applyFont="1" applyBorder="1" applyAlignment="1">
      <alignment horizontal="left" vertical="center" wrapText="1"/>
    </xf>
    <xf numFmtId="0" fontId="23" fillId="2" borderId="3" xfId="2" applyFont="1" applyFill="1" applyBorder="1" applyAlignment="1">
      <alignment horizontal="left" vertical="center" wrapText="1"/>
    </xf>
    <xf numFmtId="0" fontId="23" fillId="2" borderId="4"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63" fillId="9" borderId="17" xfId="2" applyFont="1" applyFill="1" applyBorder="1" applyAlignment="1">
      <alignment horizontal="center" vertical="center" wrapText="1"/>
    </xf>
    <xf numFmtId="0" fontId="63" fillId="9" borderId="18" xfId="2" applyFont="1" applyFill="1" applyBorder="1" applyAlignment="1">
      <alignment horizontal="center" vertical="center" wrapText="1"/>
    </xf>
    <xf numFmtId="0" fontId="35" fillId="2" borderId="17" xfId="2" applyFont="1" applyFill="1" applyBorder="1" applyAlignment="1">
      <alignment horizontal="center" vertical="center" wrapText="1"/>
    </xf>
    <xf numFmtId="0" fontId="35" fillId="2" borderId="18" xfId="2" applyFont="1" applyFill="1" applyBorder="1" applyAlignment="1">
      <alignment horizontal="center" vertical="center" wrapText="1"/>
    </xf>
    <xf numFmtId="0" fontId="55" fillId="2" borderId="3" xfId="2" applyFont="1" applyFill="1" applyBorder="1" applyAlignment="1">
      <alignment horizontal="center" vertical="center" wrapText="1"/>
    </xf>
    <xf numFmtId="0" fontId="55" fillId="2" borderId="4" xfId="2" applyFont="1" applyFill="1" applyBorder="1" applyAlignment="1">
      <alignment horizontal="center" vertical="center" wrapText="1"/>
    </xf>
    <xf numFmtId="0" fontId="63" fillId="2" borderId="17" xfId="2" applyFont="1" applyFill="1" applyBorder="1" applyAlignment="1">
      <alignment horizontal="center" vertical="center" wrapText="1"/>
    </xf>
    <xf numFmtId="0" fontId="63" fillId="2" borderId="18" xfId="2" applyFont="1" applyFill="1" applyBorder="1" applyAlignment="1">
      <alignment horizontal="center" vertical="center" wrapText="1"/>
    </xf>
    <xf numFmtId="0" fontId="27" fillId="2" borderId="2" xfId="2" applyFont="1" applyFill="1" applyBorder="1" applyAlignment="1">
      <alignment horizontal="center" vertical="center" wrapText="1"/>
    </xf>
    <xf numFmtId="0" fontId="27" fillId="2" borderId="3" xfId="2" applyFont="1" applyFill="1" applyBorder="1" applyAlignment="1">
      <alignment horizontal="center" vertical="center" wrapText="1"/>
    </xf>
    <xf numFmtId="10" fontId="63" fillId="2" borderId="38" xfId="2" applyNumberFormat="1" applyFont="1" applyFill="1" applyBorder="1" applyAlignment="1">
      <alignment horizontal="center" vertical="center" wrapText="1"/>
    </xf>
    <xf numFmtId="10" fontId="63" fillId="2" borderId="31" xfId="2" applyNumberFormat="1" applyFont="1" applyFill="1" applyBorder="1" applyAlignment="1">
      <alignment horizontal="center" vertical="center" wrapText="1"/>
    </xf>
    <xf numFmtId="0" fontId="66" fillId="2" borderId="38" xfId="2" applyFont="1" applyFill="1" applyBorder="1" applyAlignment="1">
      <alignment horizontal="center" vertical="center"/>
    </xf>
    <xf numFmtId="0" fontId="66" fillId="2" borderId="31" xfId="2" applyFont="1" applyFill="1" applyBorder="1" applyAlignment="1">
      <alignment horizontal="center" vertical="center"/>
    </xf>
    <xf numFmtId="0" fontId="63" fillId="2" borderId="38" xfId="2" applyFont="1" applyFill="1" applyBorder="1" applyAlignment="1">
      <alignment horizontal="center" wrapText="1"/>
    </xf>
    <xf numFmtId="0" fontId="63" fillId="2" borderId="31" xfId="2" applyFont="1" applyFill="1" applyBorder="1" applyAlignment="1">
      <alignment horizontal="center" wrapText="1"/>
    </xf>
    <xf numFmtId="0" fontId="63" fillId="2" borderId="38" xfId="2" applyFont="1" applyFill="1" applyBorder="1" applyAlignment="1">
      <alignment horizontal="center" vertical="center" wrapText="1"/>
    </xf>
    <xf numFmtId="0" fontId="63" fillId="2" borderId="31" xfId="2" applyFont="1" applyFill="1" applyBorder="1" applyAlignment="1">
      <alignment horizontal="center" vertical="center" wrapText="1"/>
    </xf>
    <xf numFmtId="0" fontId="70" fillId="2" borderId="3" xfId="2" applyFont="1" applyFill="1" applyBorder="1" applyAlignment="1">
      <alignment horizontal="left" vertical="center" wrapText="1"/>
    </xf>
    <xf numFmtId="0" fontId="70" fillId="2" borderId="4" xfId="2" applyFont="1" applyFill="1" applyBorder="1" applyAlignment="1">
      <alignment horizontal="left" vertical="center" wrapText="1"/>
    </xf>
    <xf numFmtId="0" fontId="35" fillId="2" borderId="38" xfId="2" applyFont="1" applyFill="1" applyBorder="1" applyAlignment="1">
      <alignment horizontal="center" vertical="center" wrapText="1"/>
    </xf>
    <xf numFmtId="0" fontId="35" fillId="2" borderId="31" xfId="2" applyFont="1" applyFill="1" applyBorder="1" applyAlignment="1">
      <alignment horizontal="center" vertical="center" wrapText="1"/>
    </xf>
    <xf numFmtId="0" fontId="74" fillId="2" borderId="3" xfId="2" applyFont="1" applyFill="1" applyBorder="1" applyAlignment="1">
      <alignment horizontal="left" vertical="center" wrapText="1"/>
    </xf>
    <xf numFmtId="0" fontId="74" fillId="2" borderId="4" xfId="2" applyFont="1" applyFill="1" applyBorder="1" applyAlignment="1">
      <alignment horizontal="left" vertical="center" wrapText="1"/>
    </xf>
    <xf numFmtId="0" fontId="70" fillId="0" borderId="3" xfId="2" applyFont="1" applyFill="1" applyBorder="1" applyAlignment="1">
      <alignment horizontal="left" vertical="center" wrapText="1"/>
    </xf>
    <xf numFmtId="0" fontId="70" fillId="0" borderId="4" xfId="2" applyFont="1" applyFill="1" applyBorder="1" applyAlignment="1">
      <alignment horizontal="left" vertical="center" wrapText="1"/>
    </xf>
    <xf numFmtId="0" fontId="71" fillId="2" borderId="3" xfId="2" applyFont="1" applyFill="1" applyBorder="1" applyAlignment="1">
      <alignment horizontal="left" vertical="center" wrapText="1"/>
    </xf>
    <xf numFmtId="0" fontId="23" fillId="2" borderId="3" xfId="2" applyFont="1" applyFill="1" applyBorder="1" applyAlignment="1">
      <alignment vertical="center" wrapText="1"/>
    </xf>
    <xf numFmtId="0" fontId="23" fillId="2" borderId="4" xfId="2" applyFont="1" applyFill="1" applyBorder="1" applyAlignment="1">
      <alignment vertical="center" wrapText="1"/>
    </xf>
    <xf numFmtId="0" fontId="23" fillId="2" borderId="5" xfId="2" applyFont="1" applyFill="1" applyBorder="1" applyAlignment="1">
      <alignment vertical="center" wrapText="1"/>
    </xf>
    <xf numFmtId="0" fontId="23" fillId="7" borderId="4" xfId="2" applyFont="1" applyFill="1" applyBorder="1" applyAlignment="1">
      <alignment horizontal="left" vertical="center" wrapText="1"/>
    </xf>
    <xf numFmtId="0" fontId="23" fillId="7" borderId="5" xfId="2" applyFont="1" applyFill="1" applyBorder="1" applyAlignment="1">
      <alignment horizontal="left" vertical="center" wrapText="1"/>
    </xf>
    <xf numFmtId="166" fontId="23" fillId="7" borderId="3" xfId="2" applyNumberFormat="1" applyFont="1" applyFill="1" applyBorder="1" applyAlignment="1">
      <alignment horizontal="center" vertical="center" wrapText="1"/>
    </xf>
    <xf numFmtId="166" fontId="23" fillId="7" borderId="4" xfId="2" applyNumberFormat="1" applyFont="1" applyFill="1" applyBorder="1" applyAlignment="1">
      <alignment horizontal="center" vertical="center" wrapText="1"/>
    </xf>
    <xf numFmtId="166" fontId="64" fillId="9" borderId="17" xfId="2" applyNumberFormat="1" applyFont="1" applyFill="1" applyBorder="1" applyAlignment="1">
      <alignment horizontal="center" vertical="center" wrapText="1"/>
    </xf>
    <xf numFmtId="166" fontId="64" fillId="9" borderId="18" xfId="2" applyNumberFormat="1" applyFont="1" applyFill="1" applyBorder="1" applyAlignment="1">
      <alignment horizontal="center" vertical="center" wrapText="1"/>
    </xf>
    <xf numFmtId="0" fontId="63" fillId="0" borderId="38" xfId="2" applyFont="1" applyFill="1" applyBorder="1" applyAlignment="1">
      <alignment horizontal="center" vertical="center" wrapText="1"/>
    </xf>
    <xf numFmtId="0" fontId="63" fillId="0" borderId="31" xfId="2" applyFont="1" applyFill="1" applyBorder="1" applyAlignment="1">
      <alignment horizontal="center" vertical="center" wrapText="1"/>
    </xf>
    <xf numFmtId="0" fontId="23" fillId="2" borderId="5" xfId="2" applyFont="1" applyFill="1" applyBorder="1" applyAlignment="1">
      <alignment horizontal="center" vertical="center" wrapText="1"/>
    </xf>
    <xf numFmtId="0" fontId="35" fillId="2" borderId="17" xfId="2" applyFont="1" applyFill="1" applyBorder="1" applyAlignment="1">
      <alignment horizontal="center" wrapText="1"/>
    </xf>
    <xf numFmtId="0" fontId="35" fillId="2" borderId="18" xfId="2" applyFont="1" applyFill="1" applyBorder="1" applyAlignment="1">
      <alignment horizontal="center" wrapText="1"/>
    </xf>
    <xf numFmtId="0" fontId="21" fillId="2" borderId="2" xfId="2" applyFont="1" applyFill="1" applyBorder="1" applyAlignment="1">
      <alignment horizontal="center" wrapText="1"/>
    </xf>
    <xf numFmtId="0" fontId="21" fillId="2" borderId="3" xfId="2" applyFont="1" applyFill="1" applyBorder="1" applyAlignment="1">
      <alignment horizontal="center" wrapText="1"/>
    </xf>
    <xf numFmtId="0" fontId="32" fillId="9" borderId="3" xfId="2" applyFont="1" applyFill="1" applyBorder="1" applyAlignment="1">
      <alignment horizontal="center" vertical="center" wrapText="1"/>
    </xf>
    <xf numFmtId="0" fontId="32" fillId="9" borderId="4" xfId="2" applyFont="1" applyFill="1" applyBorder="1" applyAlignment="1">
      <alignment horizontal="center" vertical="center" wrapText="1"/>
    </xf>
    <xf numFmtId="0" fontId="32" fillId="9" borderId="5" xfId="2" applyFont="1" applyFill="1" applyBorder="1" applyAlignment="1">
      <alignment horizontal="center" vertical="center" wrapText="1"/>
    </xf>
    <xf numFmtId="0" fontId="72" fillId="0" borderId="4" xfId="0" applyFont="1" applyBorder="1" applyAlignment="1">
      <alignment horizontal="left" vertical="center" wrapText="1"/>
    </xf>
    <xf numFmtId="0" fontId="35" fillId="0" borderId="38" xfId="2" applyFont="1" applyFill="1" applyBorder="1" applyAlignment="1">
      <alignment horizontal="center" vertical="center" wrapText="1"/>
    </xf>
    <xf numFmtId="0" fontId="35" fillId="0" borderId="31" xfId="2" applyFont="1" applyFill="1" applyBorder="1" applyAlignment="1">
      <alignment horizontal="center" vertical="center" wrapText="1"/>
    </xf>
    <xf numFmtId="10" fontId="64" fillId="2" borderId="38" xfId="2" applyNumberFormat="1" applyFont="1" applyFill="1" applyBorder="1" applyAlignment="1">
      <alignment horizontal="center" wrapText="1"/>
    </xf>
    <xf numFmtId="10" fontId="64" fillId="2" borderId="31" xfId="2" applyNumberFormat="1" applyFont="1" applyFill="1" applyBorder="1" applyAlignment="1">
      <alignment horizont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4" fillId="2" borderId="3" xfId="0" applyFont="1" applyFill="1" applyBorder="1" applyAlignment="1">
      <alignment horizontal="center" vertical="center" wrapText="1"/>
    </xf>
    <xf numFmtId="0" fontId="53" fillId="7" borderId="3" xfId="2" applyFont="1" applyFill="1" applyBorder="1" applyAlignment="1">
      <alignment horizontal="left" vertical="center" wrapText="1"/>
    </xf>
    <xf numFmtId="0" fontId="53" fillId="7" borderId="4" xfId="2" applyFont="1" applyFill="1" applyBorder="1" applyAlignment="1">
      <alignment horizontal="left" vertical="center" wrapText="1"/>
    </xf>
    <xf numFmtId="14" fontId="24" fillId="9" borderId="17" xfId="2" applyNumberFormat="1" applyFont="1" applyFill="1" applyBorder="1" applyAlignment="1">
      <alignment horizontal="center" vertical="center" wrapText="1"/>
    </xf>
    <xf numFmtId="0" fontId="24" fillId="9" borderId="18" xfId="2" applyFont="1" applyFill="1" applyBorder="1" applyAlignment="1">
      <alignment horizontal="center" vertical="center" wrapText="1"/>
    </xf>
    <xf numFmtId="0" fontId="21" fillId="2" borderId="17" xfId="2" applyFont="1" applyFill="1" applyBorder="1" applyAlignment="1">
      <alignment horizontal="center" vertical="center" wrapText="1"/>
    </xf>
    <xf numFmtId="0" fontId="21" fillId="2" borderId="18" xfId="2" applyFont="1" applyFill="1" applyBorder="1" applyAlignment="1">
      <alignment horizontal="center" vertical="center" wrapText="1"/>
    </xf>
    <xf numFmtId="0" fontId="23" fillId="2" borderId="17" xfId="2" applyFont="1" applyFill="1" applyBorder="1" applyAlignment="1">
      <alignment horizontal="center" vertical="center" wrapText="1"/>
    </xf>
    <xf numFmtId="0" fontId="23" fillId="2" borderId="18" xfId="2" applyFont="1" applyFill="1" applyBorder="1" applyAlignment="1">
      <alignment horizontal="center" vertical="center" wrapText="1"/>
    </xf>
    <xf numFmtId="0" fontId="24" fillId="2" borderId="17" xfId="2" applyFont="1" applyFill="1" applyBorder="1" applyAlignment="1">
      <alignment horizontal="center" vertical="center" wrapText="1"/>
    </xf>
    <xf numFmtId="0" fontId="24" fillId="2" borderId="18" xfId="2" applyFont="1" applyFill="1" applyBorder="1" applyAlignment="1">
      <alignment horizontal="center" vertical="center" wrapText="1"/>
    </xf>
    <xf numFmtId="0" fontId="24" fillId="0" borderId="17" xfId="2" applyFont="1" applyFill="1" applyBorder="1" applyAlignment="1">
      <alignment horizontal="center" vertical="center" wrapText="1"/>
    </xf>
    <xf numFmtId="0" fontId="24" fillId="0" borderId="18" xfId="2" applyFont="1" applyFill="1" applyBorder="1" applyAlignment="1">
      <alignment horizontal="center" vertical="center" wrapText="1"/>
    </xf>
    <xf numFmtId="0" fontId="24" fillId="7" borderId="17" xfId="2" applyFont="1" applyFill="1" applyBorder="1" applyAlignment="1">
      <alignment horizontal="center" vertical="center" wrapText="1"/>
    </xf>
    <xf numFmtId="0" fontId="24" fillId="7" borderId="18" xfId="2" applyFont="1" applyFill="1" applyBorder="1" applyAlignment="1">
      <alignment horizontal="center" vertical="center" wrapText="1"/>
    </xf>
    <xf numFmtId="0" fontId="24" fillId="2" borderId="3" xfId="2" applyFont="1" applyFill="1" applyBorder="1" applyAlignment="1">
      <alignment vertical="center" wrapText="1"/>
    </xf>
    <xf numFmtId="0" fontId="24" fillId="2" borderId="4" xfId="2" applyFont="1" applyFill="1" applyBorder="1" applyAlignment="1">
      <alignment vertical="center" wrapText="1"/>
    </xf>
    <xf numFmtId="0" fontId="24" fillId="2" borderId="5" xfId="2" applyFont="1" applyFill="1" applyBorder="1" applyAlignment="1">
      <alignment vertical="center" wrapText="1"/>
    </xf>
    <xf numFmtId="0" fontId="21" fillId="2" borderId="3" xfId="2" applyFont="1" applyFill="1" applyBorder="1" applyAlignment="1">
      <alignment vertical="center" wrapText="1"/>
    </xf>
    <xf numFmtId="0" fontId="21" fillId="2" borderId="4" xfId="2" applyFont="1" applyFill="1" applyBorder="1" applyAlignment="1">
      <alignment vertical="center" wrapText="1"/>
    </xf>
    <xf numFmtId="0" fontId="21" fillId="2" borderId="5" xfId="2" applyFont="1" applyFill="1" applyBorder="1" applyAlignment="1">
      <alignment vertical="center" wrapText="1"/>
    </xf>
    <xf numFmtId="0" fontId="36" fillId="9" borderId="10" xfId="2" applyFont="1" applyFill="1" applyBorder="1" applyAlignment="1">
      <alignment horizontal="center" vertical="center" wrapText="1"/>
    </xf>
    <xf numFmtId="0" fontId="36" fillId="9" borderId="8" xfId="2" applyFont="1" applyFill="1" applyBorder="1" applyAlignment="1">
      <alignment horizontal="center" vertical="center" wrapText="1"/>
    </xf>
    <xf numFmtId="0" fontId="36" fillId="9" borderId="11" xfId="2" applyFont="1" applyFill="1" applyBorder="1" applyAlignment="1">
      <alignment horizontal="center" vertical="center" wrapText="1"/>
    </xf>
    <xf numFmtId="0" fontId="86" fillId="2" borderId="3" xfId="2" applyFont="1" applyFill="1" applyBorder="1" applyAlignment="1">
      <alignment horizontal="left" vertical="center" wrapText="1"/>
    </xf>
    <xf numFmtId="0" fontId="86" fillId="2" borderId="4" xfId="2" applyFont="1" applyFill="1" applyBorder="1" applyAlignment="1">
      <alignment horizontal="left" vertical="center" wrapText="1"/>
    </xf>
    <xf numFmtId="0" fontId="86" fillId="2" borderId="5" xfId="2" applyFont="1" applyFill="1" applyBorder="1" applyAlignment="1">
      <alignment horizontal="left" vertical="center" wrapText="1"/>
    </xf>
    <xf numFmtId="0" fontId="70" fillId="2" borderId="17" xfId="2" applyFont="1" applyFill="1" applyBorder="1" applyAlignment="1">
      <alignment horizontal="center" vertical="center" wrapText="1"/>
    </xf>
    <xf numFmtId="0" fontId="70" fillId="2" borderId="18" xfId="2" applyFont="1" applyFill="1" applyBorder="1" applyAlignment="1">
      <alignment horizontal="center" vertical="center" wrapText="1"/>
    </xf>
    <xf numFmtId="0" fontId="39" fillId="2" borderId="17" xfId="2" applyFont="1" applyFill="1" applyBorder="1" applyAlignment="1">
      <alignment horizontal="center" vertical="center" wrapText="1"/>
    </xf>
    <xf numFmtId="0" fontId="39" fillId="2" borderId="18" xfId="2" applyFont="1" applyFill="1" applyBorder="1" applyAlignment="1">
      <alignment horizontal="center" vertical="center" wrapText="1"/>
    </xf>
    <xf numFmtId="0" fontId="24" fillId="2" borderId="38" xfId="2" applyFont="1" applyFill="1" applyBorder="1" applyAlignment="1">
      <alignment horizontal="center" vertical="center" wrapText="1"/>
    </xf>
    <xf numFmtId="0" fontId="24" fillId="2" borderId="31" xfId="2" applyFont="1" applyFill="1" applyBorder="1" applyAlignment="1">
      <alignment horizontal="center" vertical="center" wrapText="1"/>
    </xf>
    <xf numFmtId="0" fontId="24" fillId="7" borderId="17" xfId="2" applyFont="1" applyFill="1" applyBorder="1" applyAlignment="1">
      <alignment horizontal="center" wrapText="1"/>
    </xf>
    <xf numFmtId="0" fontId="24" fillId="7" borderId="18" xfId="2" applyFont="1" applyFill="1" applyBorder="1" applyAlignment="1">
      <alignment horizontal="center" wrapText="1"/>
    </xf>
    <xf numFmtId="10" fontId="24" fillId="2" borderId="17" xfId="2" applyNumberFormat="1" applyFont="1" applyFill="1" applyBorder="1" applyAlignment="1">
      <alignment horizontal="center" vertical="center" wrapText="1"/>
    </xf>
    <xf numFmtId="10" fontId="24" fillId="2" borderId="18" xfId="2" applyNumberFormat="1" applyFont="1" applyFill="1" applyBorder="1" applyAlignment="1">
      <alignment horizontal="center" vertical="center" wrapText="1"/>
    </xf>
    <xf numFmtId="0" fontId="24" fillId="2" borderId="17" xfId="2" applyFont="1" applyFill="1" applyBorder="1" applyAlignment="1">
      <alignment horizontal="center" wrapText="1"/>
    </xf>
    <xf numFmtId="0" fontId="24" fillId="2" borderId="18" xfId="2" applyFont="1" applyFill="1" applyBorder="1" applyAlignment="1">
      <alignment horizontal="center" wrapText="1"/>
    </xf>
    <xf numFmtId="0" fontId="24" fillId="7" borderId="2" xfId="2" applyFont="1" applyFill="1" applyBorder="1" applyAlignment="1">
      <alignment horizontal="center" wrapText="1"/>
    </xf>
    <xf numFmtId="10" fontId="24" fillId="2" borderId="4" xfId="2" applyNumberFormat="1" applyFont="1" applyFill="1" applyBorder="1" applyAlignment="1">
      <alignment horizontal="center" vertical="center" wrapText="1"/>
    </xf>
    <xf numFmtId="10" fontId="24" fillId="2" borderId="38" xfId="2" applyNumberFormat="1" applyFont="1" applyFill="1" applyBorder="1" applyAlignment="1">
      <alignment horizontal="center" vertical="center" wrapText="1"/>
    </xf>
    <xf numFmtId="10" fontId="24" fillId="2" borderId="31" xfId="2" applyNumberFormat="1"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2" xfId="2" applyFont="1" applyFill="1" applyBorder="1" applyAlignment="1">
      <alignment horizontal="center" vertical="center" wrapText="1"/>
    </xf>
    <xf numFmtId="0" fontId="65" fillId="2" borderId="38" xfId="2" applyFont="1" applyFill="1" applyBorder="1" applyAlignment="1">
      <alignment horizontal="center" vertical="center" wrapText="1"/>
    </xf>
    <xf numFmtId="0" fontId="65" fillId="2" borderId="31" xfId="2" applyFont="1" applyFill="1" applyBorder="1" applyAlignment="1">
      <alignment horizontal="center" vertical="center" wrapText="1"/>
    </xf>
    <xf numFmtId="0" fontId="24" fillId="2" borderId="3" xfId="0" applyFont="1" applyFill="1" applyBorder="1" applyAlignment="1">
      <alignment horizontal="right" vertical="center" wrapText="1"/>
    </xf>
    <xf numFmtId="0" fontId="24" fillId="2" borderId="4" xfId="0" applyFont="1" applyFill="1" applyBorder="1" applyAlignment="1">
      <alignment horizontal="right" vertical="center" wrapText="1"/>
    </xf>
    <xf numFmtId="0" fontId="24" fillId="2" borderId="5" xfId="0" applyFont="1" applyFill="1" applyBorder="1" applyAlignment="1">
      <alignment horizontal="right" vertical="center" wrapText="1"/>
    </xf>
    <xf numFmtId="0" fontId="30" fillId="5" borderId="3"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31" fillId="2" borderId="2" xfId="0" applyFont="1" applyFill="1" applyBorder="1" applyAlignment="1">
      <alignment horizontal="center" wrapText="1"/>
    </xf>
    <xf numFmtId="0" fontId="31" fillId="2"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8" fillId="7" borderId="2" xfId="0" applyFont="1" applyFill="1" applyBorder="1" applyAlignment="1">
      <alignment horizontal="center" vertical="center" wrapText="1"/>
    </xf>
    <xf numFmtId="0" fontId="23" fillId="7" borderId="2" xfId="0" applyFont="1" applyFill="1" applyBorder="1" applyAlignment="1">
      <alignment horizontal="center" vertical="center" wrapText="1"/>
    </xf>
    <xf numFmtId="0" fontId="28" fillId="7" borderId="9"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26" fillId="7" borderId="5" xfId="0" applyFont="1" applyFill="1" applyBorder="1" applyAlignment="1">
      <alignment horizontal="center" vertical="center" wrapText="1"/>
    </xf>
    <xf numFmtId="43" fontId="23" fillId="7" borderId="3" xfId="1" applyFont="1" applyFill="1" applyBorder="1" applyAlignment="1">
      <alignment horizontal="center" vertical="center"/>
    </xf>
    <xf numFmtId="43" fontId="23" fillId="7" borderId="4" xfId="1" applyFont="1" applyFill="1" applyBorder="1" applyAlignment="1">
      <alignment horizontal="center" vertical="center"/>
    </xf>
    <xf numFmtId="43" fontId="23" fillId="7" borderId="5" xfId="1" applyFont="1" applyFill="1" applyBorder="1" applyAlignment="1">
      <alignment horizontal="center" vertical="center"/>
    </xf>
    <xf numFmtId="0" fontId="23" fillId="0" borderId="2" xfId="0" applyFont="1" applyBorder="1" applyAlignment="1">
      <alignment horizontal="center" vertical="center" wrapText="1"/>
    </xf>
    <xf numFmtId="0" fontId="26" fillId="0" borderId="5" xfId="0" applyFont="1" applyBorder="1" applyAlignment="1">
      <alignment horizontal="center" vertical="center" wrapText="1"/>
    </xf>
    <xf numFmtId="43" fontId="23" fillId="0" borderId="2" xfId="0" applyNumberFormat="1" applyFont="1" applyBorder="1" applyAlignment="1">
      <alignment horizontal="center" vertical="center"/>
    </xf>
    <xf numFmtId="0" fontId="26" fillId="7" borderId="2" xfId="0" applyFont="1" applyFill="1" applyBorder="1" applyAlignment="1">
      <alignment horizontal="center" vertical="center" wrapText="1"/>
    </xf>
    <xf numFmtId="43" fontId="23" fillId="7" borderId="2" xfId="0" applyNumberFormat="1" applyFont="1" applyFill="1" applyBorder="1" applyAlignment="1">
      <alignment horizontal="center" vertical="center"/>
    </xf>
    <xf numFmtId="0" fontId="23" fillId="7" borderId="2" xfId="0" applyFont="1" applyFill="1" applyBorder="1" applyAlignment="1">
      <alignment horizontal="center" vertical="center"/>
    </xf>
    <xf numFmtId="0" fontId="26" fillId="0" borderId="2" xfId="0" applyFont="1" applyBorder="1" applyAlignment="1">
      <alignment horizontal="center" vertical="center" wrapText="1"/>
    </xf>
    <xf numFmtId="10" fontId="44" fillId="0" borderId="17" xfId="2" applyNumberFormat="1" applyFont="1" applyFill="1" applyBorder="1" applyAlignment="1">
      <alignment horizontal="center" vertical="center" wrapText="1"/>
    </xf>
    <xf numFmtId="10" fontId="27" fillId="2" borderId="4" xfId="2" applyNumberFormat="1" applyFont="1" applyFill="1" applyBorder="1" applyAlignment="1">
      <alignment horizontal="center" vertical="center" wrapText="1"/>
    </xf>
    <xf numFmtId="10" fontId="55" fillId="2" borderId="4" xfId="2" applyNumberFormat="1" applyFont="1" applyFill="1" applyBorder="1" applyAlignment="1">
      <alignment horizontal="center" vertical="center" wrapText="1"/>
    </xf>
  </cellXfs>
  <cellStyles count="5">
    <cellStyle name="Normal" xfId="0" builtinId="0"/>
    <cellStyle name="Normal 2" xfId="2"/>
    <cellStyle name="Normal 2 2" xfId="4"/>
    <cellStyle name="Porcentagem" xfId="3" builtinId="5"/>
    <cellStyle name="Vírgula" xfId="1" builtinId="3"/>
  </cellStyles>
  <dxfs count="0"/>
  <tableStyles count="0" defaultTableStyle="TableStyleMedium2" defaultPivotStyle="PivotStyleLight16"/>
  <colors>
    <mruColors>
      <color rgb="FF65D7FF"/>
      <color rgb="FFFFFF99"/>
      <color rgb="FFFFFF66"/>
      <color rgb="FF99CCFF"/>
      <color rgb="FFD6E4F6"/>
      <color rgb="FF3FCDFF"/>
      <color rgb="FFFFFFCC"/>
      <color rgb="FFFFCCCC"/>
      <color rgb="FF99FF99"/>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3"/>
  <sheetViews>
    <sheetView topLeftCell="A367" zoomScale="110" zoomScaleNormal="110" workbookViewId="0">
      <selection activeCell="A307" sqref="A307:F384"/>
    </sheetView>
  </sheetViews>
  <sheetFormatPr defaultRowHeight="15" x14ac:dyDescent="0.25"/>
  <cols>
    <col min="1" max="1" width="5.85546875" style="1" customWidth="1"/>
    <col min="2" max="2" width="54.140625" customWidth="1"/>
    <col min="3" max="3" width="6.140625" customWidth="1"/>
    <col min="4" max="4" width="7.7109375" customWidth="1"/>
    <col min="5" max="5" width="9.42578125" style="37" bestFit="1" customWidth="1"/>
    <col min="6" max="6" width="11.5703125" bestFit="1" customWidth="1"/>
    <col min="8" max="8" width="8.85546875" customWidth="1"/>
  </cols>
  <sheetData>
    <row r="1" spans="1:6" ht="15.75" x14ac:dyDescent="0.25">
      <c r="A1" s="517" t="s">
        <v>422</v>
      </c>
      <c r="B1" s="517"/>
      <c r="C1" s="517"/>
      <c r="D1" s="517"/>
      <c r="E1" s="517"/>
      <c r="F1" s="517"/>
    </row>
    <row r="2" spans="1:6" ht="68.45" customHeight="1" x14ac:dyDescent="0.25">
      <c r="A2" s="517" t="s">
        <v>459</v>
      </c>
      <c r="B2" s="517"/>
      <c r="C2" s="517"/>
      <c r="D2" s="517"/>
      <c r="E2" s="517"/>
      <c r="F2" s="517"/>
    </row>
    <row r="3" spans="1:6" ht="27" customHeight="1" x14ac:dyDescent="0.25">
      <c r="A3" s="518" t="s">
        <v>180</v>
      </c>
      <c r="B3" s="518"/>
      <c r="C3" s="518"/>
      <c r="D3" s="518"/>
      <c r="E3" s="518"/>
      <c r="F3" s="518"/>
    </row>
    <row r="5" spans="1:6" ht="30.75" customHeight="1" x14ac:dyDescent="0.25">
      <c r="A5" s="49" t="s">
        <v>151</v>
      </c>
      <c r="B5" s="49" t="s">
        <v>0</v>
      </c>
      <c r="C5" s="49" t="s">
        <v>1</v>
      </c>
      <c r="D5" s="49" t="s">
        <v>2</v>
      </c>
      <c r="E5" s="50" t="s">
        <v>93</v>
      </c>
      <c r="F5" s="49" t="s">
        <v>94</v>
      </c>
    </row>
    <row r="6" spans="1:6" ht="18.600000000000001" customHeight="1" x14ac:dyDescent="0.25">
      <c r="A6" s="46"/>
      <c r="B6" s="46" t="s">
        <v>115</v>
      </c>
      <c r="C6" s="47"/>
      <c r="D6" s="47"/>
      <c r="E6" s="48"/>
      <c r="F6" s="47"/>
    </row>
    <row r="7" spans="1:6" ht="15" customHeight="1" x14ac:dyDescent="0.25">
      <c r="A7" s="58">
        <v>1</v>
      </c>
      <c r="B7" s="3" t="s">
        <v>115</v>
      </c>
      <c r="C7" s="58" t="s">
        <v>91</v>
      </c>
      <c r="D7" s="4">
        <v>50</v>
      </c>
      <c r="E7" s="28">
        <v>3.5</v>
      </c>
      <c r="F7" s="5">
        <f t="shared" ref="F7:F38" si="0">D7*E7</f>
        <v>175</v>
      </c>
    </row>
    <row r="8" spans="1:6" ht="15" customHeight="1" x14ac:dyDescent="0.25">
      <c r="A8" s="58">
        <v>2</v>
      </c>
      <c r="B8" s="3" t="s">
        <v>40</v>
      </c>
      <c r="C8" s="58" t="s">
        <v>91</v>
      </c>
      <c r="D8" s="4">
        <v>10</v>
      </c>
      <c r="E8" s="28">
        <v>0.51</v>
      </c>
      <c r="F8" s="5">
        <f t="shared" si="0"/>
        <v>5.0999999999999996</v>
      </c>
    </row>
    <row r="9" spans="1:6" ht="30" customHeight="1" x14ac:dyDescent="0.25">
      <c r="A9" s="58">
        <v>3</v>
      </c>
      <c r="B9" s="3" t="s">
        <v>283</v>
      </c>
      <c r="C9" s="58" t="s">
        <v>91</v>
      </c>
      <c r="D9" s="4">
        <v>4</v>
      </c>
      <c r="E9" s="28">
        <v>21.99</v>
      </c>
      <c r="F9" s="5">
        <f t="shared" si="0"/>
        <v>87.96</v>
      </c>
    </row>
    <row r="10" spans="1:6" ht="29.45" customHeight="1" x14ac:dyDescent="0.25">
      <c r="A10" s="58">
        <v>4</v>
      </c>
      <c r="B10" s="3" t="s">
        <v>284</v>
      </c>
      <c r="C10" s="58" t="s">
        <v>91</v>
      </c>
      <c r="D10" s="4">
        <v>4</v>
      </c>
      <c r="E10" s="28">
        <v>20</v>
      </c>
      <c r="F10" s="5">
        <f t="shared" si="0"/>
        <v>80</v>
      </c>
    </row>
    <row r="11" spans="1:6" ht="15" customHeight="1" x14ac:dyDescent="0.25">
      <c r="A11" s="58">
        <v>5</v>
      </c>
      <c r="B11" s="3" t="s">
        <v>285</v>
      </c>
      <c r="C11" s="58" t="s">
        <v>91</v>
      </c>
      <c r="D11" s="4">
        <v>1000</v>
      </c>
      <c r="E11" s="28">
        <v>0.09</v>
      </c>
      <c r="F11" s="5">
        <f t="shared" si="0"/>
        <v>90</v>
      </c>
    </row>
    <row r="12" spans="1:6" ht="15" customHeight="1" x14ac:dyDescent="0.25">
      <c r="A12" s="58">
        <v>6</v>
      </c>
      <c r="B12" s="3" t="s">
        <v>286</v>
      </c>
      <c r="C12" s="58" t="s">
        <v>91</v>
      </c>
      <c r="D12" s="4">
        <v>500</v>
      </c>
      <c r="E12" s="28">
        <v>0.13</v>
      </c>
      <c r="F12" s="5">
        <f t="shared" si="0"/>
        <v>65</v>
      </c>
    </row>
    <row r="13" spans="1:6" ht="15" customHeight="1" x14ac:dyDescent="0.25">
      <c r="A13" s="58">
        <v>7</v>
      </c>
      <c r="B13" s="39" t="s">
        <v>3</v>
      </c>
      <c r="C13" s="58" t="s">
        <v>91</v>
      </c>
      <c r="D13" s="4">
        <v>8</v>
      </c>
      <c r="E13" s="28">
        <v>1.79</v>
      </c>
      <c r="F13" s="5">
        <f t="shared" si="0"/>
        <v>14.32</v>
      </c>
    </row>
    <row r="14" spans="1:6" ht="15" customHeight="1" x14ac:dyDescent="0.25">
      <c r="A14" s="58">
        <v>8</v>
      </c>
      <c r="B14" s="39" t="s">
        <v>4</v>
      </c>
      <c r="C14" s="58" t="s">
        <v>91</v>
      </c>
      <c r="D14" s="4">
        <v>8</v>
      </c>
      <c r="E14" s="28">
        <v>3.1</v>
      </c>
      <c r="F14" s="5">
        <f t="shared" si="0"/>
        <v>24.8</v>
      </c>
    </row>
    <row r="15" spans="1:6" ht="15" customHeight="1" x14ac:dyDescent="0.25">
      <c r="A15" s="58">
        <v>9</v>
      </c>
      <c r="B15" s="39" t="s">
        <v>5</v>
      </c>
      <c r="C15" s="58" t="s">
        <v>91</v>
      </c>
      <c r="D15" s="4">
        <v>8</v>
      </c>
      <c r="E15" s="28">
        <v>0.26</v>
      </c>
      <c r="F15" s="5">
        <f t="shared" si="0"/>
        <v>2.08</v>
      </c>
    </row>
    <row r="16" spans="1:6" ht="28.9" customHeight="1" x14ac:dyDescent="0.25">
      <c r="A16" s="58">
        <v>10</v>
      </c>
      <c r="B16" s="3" t="s">
        <v>41</v>
      </c>
      <c r="C16" s="58" t="s">
        <v>92</v>
      </c>
      <c r="D16" s="4">
        <v>2000</v>
      </c>
      <c r="E16" s="28">
        <v>1.22</v>
      </c>
      <c r="F16" s="5">
        <f t="shared" si="0"/>
        <v>2440</v>
      </c>
    </row>
    <row r="17" spans="1:6" ht="30.6" customHeight="1" x14ac:dyDescent="0.25">
      <c r="A17" s="58">
        <v>11</v>
      </c>
      <c r="B17" s="3" t="s">
        <v>42</v>
      </c>
      <c r="C17" s="58" t="s">
        <v>92</v>
      </c>
      <c r="D17" s="4">
        <v>2000</v>
      </c>
      <c r="E17" s="28">
        <v>1.22</v>
      </c>
      <c r="F17" s="5">
        <f t="shared" si="0"/>
        <v>2440</v>
      </c>
    </row>
    <row r="18" spans="1:6" ht="29.45" customHeight="1" x14ac:dyDescent="0.25">
      <c r="A18" s="58">
        <v>12</v>
      </c>
      <c r="B18" s="3" t="s">
        <v>43</v>
      </c>
      <c r="C18" s="58" t="s">
        <v>92</v>
      </c>
      <c r="D18" s="4">
        <v>2000</v>
      </c>
      <c r="E18" s="28">
        <v>1.22</v>
      </c>
      <c r="F18" s="5">
        <f t="shared" si="0"/>
        <v>2440</v>
      </c>
    </row>
    <row r="19" spans="1:6" ht="28.5" x14ac:dyDescent="0.25">
      <c r="A19" s="58">
        <v>13</v>
      </c>
      <c r="B19" s="3" t="s">
        <v>44</v>
      </c>
      <c r="C19" s="58" t="s">
        <v>92</v>
      </c>
      <c r="D19" s="4">
        <v>2000</v>
      </c>
      <c r="E19" s="28">
        <v>1.22</v>
      </c>
      <c r="F19" s="5">
        <f t="shared" si="0"/>
        <v>2440</v>
      </c>
    </row>
    <row r="20" spans="1:6" ht="28.5" x14ac:dyDescent="0.25">
      <c r="A20" s="58">
        <v>14</v>
      </c>
      <c r="B20" s="3" t="s">
        <v>45</v>
      </c>
      <c r="C20" s="58" t="s">
        <v>92</v>
      </c>
      <c r="D20" s="4">
        <v>300</v>
      </c>
      <c r="E20" s="28">
        <v>1.87</v>
      </c>
      <c r="F20" s="5">
        <f t="shared" si="0"/>
        <v>561</v>
      </c>
    </row>
    <row r="21" spans="1:6" ht="28.5" x14ac:dyDescent="0.25">
      <c r="A21" s="58">
        <v>15</v>
      </c>
      <c r="B21" s="3" t="s">
        <v>46</v>
      </c>
      <c r="C21" s="58" t="s">
        <v>92</v>
      </c>
      <c r="D21" s="4">
        <v>500</v>
      </c>
      <c r="E21" s="28">
        <v>1.87</v>
      </c>
      <c r="F21" s="5">
        <f t="shared" si="0"/>
        <v>935</v>
      </c>
    </row>
    <row r="22" spans="1:6" ht="28.5" x14ac:dyDescent="0.25">
      <c r="A22" s="58">
        <v>16</v>
      </c>
      <c r="B22" s="3" t="s">
        <v>47</v>
      </c>
      <c r="C22" s="58" t="s">
        <v>92</v>
      </c>
      <c r="D22" s="4">
        <v>500</v>
      </c>
      <c r="E22" s="28">
        <v>1.87</v>
      </c>
      <c r="F22" s="5">
        <f t="shared" si="0"/>
        <v>935</v>
      </c>
    </row>
    <row r="23" spans="1:6" ht="28.5" x14ac:dyDescent="0.25">
      <c r="A23" s="58">
        <v>17</v>
      </c>
      <c r="B23" s="3" t="s">
        <v>48</v>
      </c>
      <c r="C23" s="58" t="s">
        <v>92</v>
      </c>
      <c r="D23" s="4">
        <v>500</v>
      </c>
      <c r="E23" s="28">
        <v>1.87</v>
      </c>
      <c r="F23" s="5">
        <f t="shared" si="0"/>
        <v>935</v>
      </c>
    </row>
    <row r="24" spans="1:6" ht="24" x14ac:dyDescent="0.25">
      <c r="A24" s="58">
        <v>18</v>
      </c>
      <c r="B24" s="6" t="s">
        <v>49</v>
      </c>
      <c r="C24" s="58" t="s">
        <v>92</v>
      </c>
      <c r="D24" s="4">
        <v>500</v>
      </c>
      <c r="E24" s="28">
        <v>1.89</v>
      </c>
      <c r="F24" s="5">
        <f t="shared" si="0"/>
        <v>945</v>
      </c>
    </row>
    <row r="25" spans="1:6" ht="15" customHeight="1" x14ac:dyDescent="0.25">
      <c r="A25" s="58">
        <v>19</v>
      </c>
      <c r="B25" s="3" t="s">
        <v>6</v>
      </c>
      <c r="C25" s="58" t="s">
        <v>91</v>
      </c>
      <c r="D25" s="4">
        <v>30</v>
      </c>
      <c r="E25" s="28">
        <v>2</v>
      </c>
      <c r="F25" s="5">
        <f t="shared" si="0"/>
        <v>60</v>
      </c>
    </row>
    <row r="26" spans="1:6" ht="15" customHeight="1" x14ac:dyDescent="0.25">
      <c r="A26" s="58">
        <v>20</v>
      </c>
      <c r="B26" s="3" t="s">
        <v>50</v>
      </c>
      <c r="C26" s="58" t="s">
        <v>91</v>
      </c>
      <c r="D26" s="4">
        <v>30</v>
      </c>
      <c r="E26" s="28">
        <v>3.55</v>
      </c>
      <c r="F26" s="5">
        <f t="shared" si="0"/>
        <v>106.5</v>
      </c>
    </row>
    <row r="27" spans="1:6" ht="15" customHeight="1" x14ac:dyDescent="0.25">
      <c r="A27" s="58">
        <v>21</v>
      </c>
      <c r="B27" s="3" t="s">
        <v>51</v>
      </c>
      <c r="C27" s="58" t="s">
        <v>91</v>
      </c>
      <c r="D27" s="4">
        <v>6</v>
      </c>
      <c r="E27" s="28">
        <v>319.99</v>
      </c>
      <c r="F27" s="5">
        <f t="shared" si="0"/>
        <v>1919.94</v>
      </c>
    </row>
    <row r="28" spans="1:6" ht="15" customHeight="1" x14ac:dyDescent="0.25">
      <c r="A28" s="58">
        <v>22</v>
      </c>
      <c r="B28" s="3" t="s">
        <v>52</v>
      </c>
      <c r="C28" s="58" t="s">
        <v>91</v>
      </c>
      <c r="D28" s="4">
        <v>50</v>
      </c>
      <c r="E28" s="28">
        <v>6.77</v>
      </c>
      <c r="F28" s="5">
        <f t="shared" si="0"/>
        <v>338.5</v>
      </c>
    </row>
    <row r="29" spans="1:6" ht="25.5" x14ac:dyDescent="0.25">
      <c r="A29" s="58">
        <v>23</v>
      </c>
      <c r="B29" s="3" t="s">
        <v>53</v>
      </c>
      <c r="C29" s="58" t="s">
        <v>91</v>
      </c>
      <c r="D29" s="4">
        <v>20</v>
      </c>
      <c r="E29" s="28">
        <v>9.99</v>
      </c>
      <c r="F29" s="5">
        <f t="shared" si="0"/>
        <v>199.8</v>
      </c>
    </row>
    <row r="30" spans="1:6" ht="25.5" x14ac:dyDescent="0.25">
      <c r="A30" s="58">
        <v>24</v>
      </c>
      <c r="B30" s="3" t="s">
        <v>54</v>
      </c>
      <c r="C30" s="58" t="s">
        <v>91</v>
      </c>
      <c r="D30" s="4">
        <v>20</v>
      </c>
      <c r="E30" s="28">
        <v>10</v>
      </c>
      <c r="F30" s="5">
        <f t="shared" si="0"/>
        <v>200</v>
      </c>
    </row>
    <row r="31" spans="1:6" ht="25.5" x14ac:dyDescent="0.25">
      <c r="A31" s="58">
        <v>25</v>
      </c>
      <c r="B31" s="3" t="s">
        <v>55</v>
      </c>
      <c r="C31" s="58" t="s">
        <v>91</v>
      </c>
      <c r="D31" s="4">
        <v>20</v>
      </c>
      <c r="E31" s="28">
        <v>30</v>
      </c>
      <c r="F31" s="5">
        <f t="shared" si="0"/>
        <v>600</v>
      </c>
    </row>
    <row r="32" spans="1:6" ht="25.5" x14ac:dyDescent="0.25">
      <c r="A32" s="58">
        <v>26</v>
      </c>
      <c r="B32" s="3" t="s">
        <v>56</v>
      </c>
      <c r="C32" s="58" t="s">
        <v>91</v>
      </c>
      <c r="D32" s="4">
        <v>10</v>
      </c>
      <c r="E32" s="28">
        <v>59.37</v>
      </c>
      <c r="F32" s="5">
        <f t="shared" si="0"/>
        <v>593.69999999999993</v>
      </c>
    </row>
    <row r="33" spans="1:6" x14ac:dyDescent="0.25">
      <c r="A33" s="58">
        <v>27</v>
      </c>
      <c r="B33" s="3" t="s">
        <v>57</v>
      </c>
      <c r="C33" s="58" t="s">
        <v>91</v>
      </c>
      <c r="D33" s="4">
        <v>5</v>
      </c>
      <c r="E33" s="28">
        <v>41.56</v>
      </c>
      <c r="F33" s="5">
        <f t="shared" si="0"/>
        <v>207.8</v>
      </c>
    </row>
    <row r="34" spans="1:6" x14ac:dyDescent="0.25">
      <c r="A34" s="58">
        <v>28</v>
      </c>
      <c r="B34" s="3" t="s">
        <v>58</v>
      </c>
      <c r="C34" s="58" t="s">
        <v>91</v>
      </c>
      <c r="D34" s="4">
        <v>5</v>
      </c>
      <c r="E34" s="28">
        <v>49.98</v>
      </c>
      <c r="F34" s="5">
        <f t="shared" si="0"/>
        <v>249.89999999999998</v>
      </c>
    </row>
    <row r="35" spans="1:6" x14ac:dyDescent="0.25">
      <c r="A35" s="58">
        <v>29</v>
      </c>
      <c r="B35" s="3" t="s">
        <v>7</v>
      </c>
      <c r="C35" s="58" t="s">
        <v>91</v>
      </c>
      <c r="D35" s="4">
        <v>10</v>
      </c>
      <c r="E35" s="28">
        <v>4.6900000000000004</v>
      </c>
      <c r="F35" s="5">
        <f t="shared" si="0"/>
        <v>46.900000000000006</v>
      </c>
    </row>
    <row r="36" spans="1:6" ht="25.5" x14ac:dyDescent="0.25">
      <c r="A36" s="58">
        <v>32</v>
      </c>
      <c r="B36" s="3" t="s">
        <v>8</v>
      </c>
      <c r="C36" s="58" t="s">
        <v>91</v>
      </c>
      <c r="D36" s="4">
        <v>50</v>
      </c>
      <c r="E36" s="28">
        <v>0.71</v>
      </c>
      <c r="F36" s="5">
        <f t="shared" si="0"/>
        <v>35.5</v>
      </c>
    </row>
    <row r="37" spans="1:6" x14ac:dyDescent="0.25">
      <c r="A37" s="58">
        <v>33</v>
      </c>
      <c r="B37" s="3" t="s">
        <v>59</v>
      </c>
      <c r="C37" s="58" t="s">
        <v>91</v>
      </c>
      <c r="D37" s="4">
        <v>40</v>
      </c>
      <c r="E37" s="28">
        <v>10.14</v>
      </c>
      <c r="F37" s="5">
        <f t="shared" si="0"/>
        <v>405.6</v>
      </c>
    </row>
    <row r="38" spans="1:6" x14ac:dyDescent="0.25">
      <c r="A38" s="58">
        <v>34</v>
      </c>
      <c r="B38" s="3" t="s">
        <v>60</v>
      </c>
      <c r="C38" s="58" t="s">
        <v>91</v>
      </c>
      <c r="D38" s="4">
        <v>40</v>
      </c>
      <c r="E38" s="28">
        <v>9.27</v>
      </c>
      <c r="F38" s="5">
        <f t="shared" si="0"/>
        <v>370.79999999999995</v>
      </c>
    </row>
    <row r="39" spans="1:6" ht="25.5" x14ac:dyDescent="0.25">
      <c r="A39" s="58">
        <v>35</v>
      </c>
      <c r="B39" s="3" t="s">
        <v>61</v>
      </c>
      <c r="C39" s="58" t="s">
        <v>91</v>
      </c>
      <c r="D39" s="4">
        <v>10</v>
      </c>
      <c r="E39" s="28">
        <v>11</v>
      </c>
      <c r="F39" s="5">
        <f t="shared" ref="F39:F70" si="1">D39*E39</f>
        <v>110</v>
      </c>
    </row>
    <row r="40" spans="1:6" ht="25.5" x14ac:dyDescent="0.25">
      <c r="A40" s="58">
        <v>36</v>
      </c>
      <c r="B40" s="3" t="s">
        <v>62</v>
      </c>
      <c r="C40" s="58" t="s">
        <v>91</v>
      </c>
      <c r="D40" s="4">
        <v>10</v>
      </c>
      <c r="E40" s="28">
        <v>68.989999999999995</v>
      </c>
      <c r="F40" s="5">
        <f t="shared" si="1"/>
        <v>689.9</v>
      </c>
    </row>
    <row r="41" spans="1:6" x14ac:dyDescent="0.25">
      <c r="A41" s="58">
        <v>37</v>
      </c>
      <c r="B41" s="3" t="s">
        <v>63</v>
      </c>
      <c r="C41" s="58" t="s">
        <v>91</v>
      </c>
      <c r="D41" s="4">
        <v>35</v>
      </c>
      <c r="E41" s="28">
        <v>4.79</v>
      </c>
      <c r="F41" s="5">
        <f t="shared" si="1"/>
        <v>167.65</v>
      </c>
    </row>
    <row r="42" spans="1:6" x14ac:dyDescent="0.25">
      <c r="A42" s="58">
        <v>38</v>
      </c>
      <c r="B42" s="3" t="s">
        <v>64</v>
      </c>
      <c r="C42" s="58" t="s">
        <v>91</v>
      </c>
      <c r="D42" s="4">
        <v>10</v>
      </c>
      <c r="E42" s="28">
        <v>8.09</v>
      </c>
      <c r="F42" s="5">
        <f t="shared" si="1"/>
        <v>80.900000000000006</v>
      </c>
    </row>
    <row r="43" spans="1:6" ht="25.5" x14ac:dyDescent="0.25">
      <c r="A43" s="58">
        <v>39</v>
      </c>
      <c r="B43" s="3" t="s">
        <v>65</v>
      </c>
      <c r="C43" s="58" t="s">
        <v>91</v>
      </c>
      <c r="D43" s="4">
        <v>20</v>
      </c>
      <c r="E43" s="28">
        <v>8.67</v>
      </c>
      <c r="F43" s="5">
        <f t="shared" si="1"/>
        <v>173.4</v>
      </c>
    </row>
    <row r="44" spans="1:6" x14ac:dyDescent="0.25">
      <c r="A44" s="58">
        <v>40</v>
      </c>
      <c r="B44" s="3" t="s">
        <v>9</v>
      </c>
      <c r="C44" s="58" t="s">
        <v>91</v>
      </c>
      <c r="D44" s="4">
        <v>10</v>
      </c>
      <c r="E44" s="28">
        <v>14.47</v>
      </c>
      <c r="F44" s="5">
        <f t="shared" si="1"/>
        <v>144.70000000000002</v>
      </c>
    </row>
    <row r="45" spans="1:6" x14ac:dyDescent="0.25">
      <c r="A45" s="58">
        <v>41</v>
      </c>
      <c r="B45" s="3" t="s">
        <v>10</v>
      </c>
      <c r="C45" s="58" t="s">
        <v>91</v>
      </c>
      <c r="D45" s="7">
        <v>100</v>
      </c>
      <c r="E45" s="8">
        <v>11</v>
      </c>
      <c r="F45" s="5">
        <f t="shared" si="1"/>
        <v>1100</v>
      </c>
    </row>
    <row r="46" spans="1:6" ht="25.5" x14ac:dyDescent="0.25">
      <c r="A46" s="58">
        <v>42</v>
      </c>
      <c r="B46" s="3" t="s">
        <v>66</v>
      </c>
      <c r="C46" s="58" t="s">
        <v>91</v>
      </c>
      <c r="D46" s="7">
        <v>20</v>
      </c>
      <c r="E46" s="8">
        <v>8.36</v>
      </c>
      <c r="F46" s="5">
        <f t="shared" si="1"/>
        <v>167.2</v>
      </c>
    </row>
    <row r="47" spans="1:6" ht="25.5" x14ac:dyDescent="0.25">
      <c r="A47" s="58">
        <v>43</v>
      </c>
      <c r="B47" s="3" t="s">
        <v>67</v>
      </c>
      <c r="C47" s="58" t="s">
        <v>91</v>
      </c>
      <c r="D47" s="7">
        <v>20</v>
      </c>
      <c r="E47" s="8">
        <v>14.94</v>
      </c>
      <c r="F47" s="5">
        <f t="shared" si="1"/>
        <v>298.8</v>
      </c>
    </row>
    <row r="48" spans="1:6" ht="25.5" x14ac:dyDescent="0.25">
      <c r="A48" s="58">
        <v>44</v>
      </c>
      <c r="B48" s="3" t="s">
        <v>68</v>
      </c>
      <c r="C48" s="58" t="s">
        <v>91</v>
      </c>
      <c r="D48" s="7">
        <v>20</v>
      </c>
      <c r="E48" s="8">
        <v>14.94</v>
      </c>
      <c r="F48" s="5">
        <f t="shared" si="1"/>
        <v>298.8</v>
      </c>
    </row>
    <row r="49" spans="1:6" x14ac:dyDescent="0.25">
      <c r="A49" s="58">
        <v>45</v>
      </c>
      <c r="B49" s="3" t="s">
        <v>11</v>
      </c>
      <c r="C49" s="58" t="s">
        <v>91</v>
      </c>
      <c r="D49" s="7">
        <v>30</v>
      </c>
      <c r="E49" s="8">
        <v>12</v>
      </c>
      <c r="F49" s="5">
        <f t="shared" si="1"/>
        <v>360</v>
      </c>
    </row>
    <row r="50" spans="1:6" x14ac:dyDescent="0.25">
      <c r="A50" s="58">
        <v>46</v>
      </c>
      <c r="B50" s="3" t="s">
        <v>69</v>
      </c>
      <c r="C50" s="58" t="s">
        <v>91</v>
      </c>
      <c r="D50" s="7">
        <v>200</v>
      </c>
      <c r="E50" s="8">
        <v>6.3</v>
      </c>
      <c r="F50" s="5">
        <f t="shared" si="1"/>
        <v>1260</v>
      </c>
    </row>
    <row r="51" spans="1:6" x14ac:dyDescent="0.25">
      <c r="A51" s="58">
        <v>47</v>
      </c>
      <c r="B51" s="3" t="s">
        <v>70</v>
      </c>
      <c r="C51" s="58" t="s">
        <v>91</v>
      </c>
      <c r="D51" s="7">
        <v>100</v>
      </c>
      <c r="E51" s="8">
        <v>5.44</v>
      </c>
      <c r="F51" s="5">
        <f t="shared" si="1"/>
        <v>544</v>
      </c>
    </row>
    <row r="52" spans="1:6" x14ac:dyDescent="0.25">
      <c r="A52" s="58">
        <v>48</v>
      </c>
      <c r="B52" s="9" t="s">
        <v>71</v>
      </c>
      <c r="C52" s="58" t="s">
        <v>91</v>
      </c>
      <c r="D52" s="7">
        <v>1000</v>
      </c>
      <c r="E52" s="8">
        <v>15.97</v>
      </c>
      <c r="F52" s="5">
        <f t="shared" si="1"/>
        <v>15970</v>
      </c>
    </row>
    <row r="53" spans="1:6" x14ac:dyDescent="0.25">
      <c r="A53" s="58">
        <v>49</v>
      </c>
      <c r="B53" s="9" t="s">
        <v>72</v>
      </c>
      <c r="C53" s="58" t="s">
        <v>91</v>
      </c>
      <c r="D53" s="7">
        <v>300</v>
      </c>
      <c r="E53" s="8">
        <v>19.8</v>
      </c>
      <c r="F53" s="5">
        <f t="shared" si="1"/>
        <v>5940</v>
      </c>
    </row>
    <row r="54" spans="1:6" x14ac:dyDescent="0.25">
      <c r="A54" s="58">
        <v>50</v>
      </c>
      <c r="B54" s="3" t="s">
        <v>73</v>
      </c>
      <c r="C54" s="58" t="s">
        <v>91</v>
      </c>
      <c r="D54" s="7">
        <v>800</v>
      </c>
      <c r="E54" s="8">
        <v>5.54</v>
      </c>
      <c r="F54" s="5">
        <f t="shared" si="1"/>
        <v>4432</v>
      </c>
    </row>
    <row r="55" spans="1:6" x14ac:dyDescent="0.25">
      <c r="A55" s="58">
        <v>51</v>
      </c>
      <c r="B55" s="3" t="s">
        <v>74</v>
      </c>
      <c r="C55" s="58" t="s">
        <v>91</v>
      </c>
      <c r="D55" s="7">
        <v>80</v>
      </c>
      <c r="E55" s="8">
        <v>1.05</v>
      </c>
      <c r="F55" s="5">
        <f t="shared" si="1"/>
        <v>84</v>
      </c>
    </row>
    <row r="56" spans="1:6" x14ac:dyDescent="0.25">
      <c r="A56" s="58">
        <v>52</v>
      </c>
      <c r="B56" s="3" t="s">
        <v>179</v>
      </c>
      <c r="C56" s="58" t="s">
        <v>91</v>
      </c>
      <c r="D56" s="7">
        <v>50</v>
      </c>
      <c r="E56" s="8">
        <v>11.21</v>
      </c>
      <c r="F56" s="5">
        <f t="shared" si="1"/>
        <v>560.5</v>
      </c>
    </row>
    <row r="57" spans="1:6" ht="25.5" x14ac:dyDescent="0.25">
      <c r="A57" s="58">
        <v>53</v>
      </c>
      <c r="B57" s="3" t="s">
        <v>75</v>
      </c>
      <c r="C57" s="58" t="s">
        <v>91</v>
      </c>
      <c r="D57" s="7">
        <v>20</v>
      </c>
      <c r="E57" s="8">
        <v>38.700000000000003</v>
      </c>
      <c r="F57" s="5">
        <f t="shared" si="1"/>
        <v>774</v>
      </c>
    </row>
    <row r="58" spans="1:6" x14ac:dyDescent="0.25">
      <c r="A58" s="58">
        <v>54</v>
      </c>
      <c r="B58" s="3" t="s">
        <v>76</v>
      </c>
      <c r="C58" s="58" t="s">
        <v>91</v>
      </c>
      <c r="D58" s="7">
        <v>6</v>
      </c>
      <c r="E58" s="8">
        <v>91.39</v>
      </c>
      <c r="F58" s="5">
        <f t="shared" si="1"/>
        <v>548.34</v>
      </c>
    </row>
    <row r="59" spans="1:6" x14ac:dyDescent="0.25">
      <c r="A59" s="58">
        <v>55</v>
      </c>
      <c r="B59" s="3" t="s">
        <v>77</v>
      </c>
      <c r="C59" s="58" t="s">
        <v>91</v>
      </c>
      <c r="D59" s="7">
        <v>10</v>
      </c>
      <c r="E59" s="8">
        <v>23.24</v>
      </c>
      <c r="F59" s="5">
        <f t="shared" si="1"/>
        <v>232.39999999999998</v>
      </c>
    </row>
    <row r="60" spans="1:6" x14ac:dyDescent="0.25">
      <c r="A60" s="58">
        <v>56</v>
      </c>
      <c r="B60" s="3" t="s">
        <v>12</v>
      </c>
      <c r="C60" s="58" t="s">
        <v>91</v>
      </c>
      <c r="D60" s="7">
        <v>40</v>
      </c>
      <c r="E60" s="8">
        <v>2.5</v>
      </c>
      <c r="F60" s="5">
        <f t="shared" si="1"/>
        <v>100</v>
      </c>
    </row>
    <row r="61" spans="1:6" ht="25.5" x14ac:dyDescent="0.25">
      <c r="A61" s="58">
        <v>57</v>
      </c>
      <c r="B61" s="3" t="s">
        <v>78</v>
      </c>
      <c r="C61" s="58" t="s">
        <v>91</v>
      </c>
      <c r="D61" s="7">
        <v>50</v>
      </c>
      <c r="E61" s="8">
        <v>1.19</v>
      </c>
      <c r="F61" s="5">
        <f t="shared" si="1"/>
        <v>59.5</v>
      </c>
    </row>
    <row r="62" spans="1:6" x14ac:dyDescent="0.25">
      <c r="A62" s="58">
        <v>58</v>
      </c>
      <c r="B62" s="3" t="s">
        <v>79</v>
      </c>
      <c r="C62" s="58" t="s">
        <v>91</v>
      </c>
      <c r="D62" s="7">
        <v>50</v>
      </c>
      <c r="E62" s="8">
        <v>5.84</v>
      </c>
      <c r="F62" s="5">
        <f t="shared" si="1"/>
        <v>292</v>
      </c>
    </row>
    <row r="63" spans="1:6" x14ac:dyDescent="0.25">
      <c r="A63" s="58">
        <v>59</v>
      </c>
      <c r="B63" s="3" t="s">
        <v>13</v>
      </c>
      <c r="C63" s="58" t="s">
        <v>91</v>
      </c>
      <c r="D63" s="7">
        <v>50</v>
      </c>
      <c r="E63" s="8">
        <v>54.98</v>
      </c>
      <c r="F63" s="5">
        <f t="shared" si="1"/>
        <v>2749</v>
      </c>
    </row>
    <row r="64" spans="1:6" x14ac:dyDescent="0.25">
      <c r="A64" s="58">
        <v>60</v>
      </c>
      <c r="B64" s="3" t="s">
        <v>14</v>
      </c>
      <c r="C64" s="58" t="s">
        <v>91</v>
      </c>
      <c r="D64" s="7">
        <v>30</v>
      </c>
      <c r="E64" s="8">
        <v>19</v>
      </c>
      <c r="F64" s="5">
        <f t="shared" si="1"/>
        <v>570</v>
      </c>
    </row>
    <row r="65" spans="1:6" ht="25.5" x14ac:dyDescent="0.25">
      <c r="A65" s="58">
        <v>61</v>
      </c>
      <c r="B65" s="3" t="s">
        <v>80</v>
      </c>
      <c r="C65" s="58" t="s">
        <v>91</v>
      </c>
      <c r="D65" s="7">
        <v>70</v>
      </c>
      <c r="E65" s="8">
        <v>28.4</v>
      </c>
      <c r="F65" s="5">
        <f t="shared" si="1"/>
        <v>1988</v>
      </c>
    </row>
    <row r="66" spans="1:6" ht="25.5" x14ac:dyDescent="0.25">
      <c r="A66" s="58">
        <v>62</v>
      </c>
      <c r="B66" s="3" t="s">
        <v>81</v>
      </c>
      <c r="C66" s="58" t="s">
        <v>91</v>
      </c>
      <c r="D66" s="7">
        <v>50</v>
      </c>
      <c r="E66" s="8">
        <v>19.39</v>
      </c>
      <c r="F66" s="5">
        <f t="shared" si="1"/>
        <v>969.5</v>
      </c>
    </row>
    <row r="67" spans="1:6" ht="25.5" x14ac:dyDescent="0.25">
      <c r="A67" s="58">
        <v>63</v>
      </c>
      <c r="B67" s="3" t="s">
        <v>82</v>
      </c>
      <c r="C67" s="58" t="s">
        <v>91</v>
      </c>
      <c r="D67" s="7">
        <v>50</v>
      </c>
      <c r="E67" s="8">
        <v>23.13</v>
      </c>
      <c r="F67" s="5">
        <f t="shared" si="1"/>
        <v>1156.5</v>
      </c>
    </row>
    <row r="68" spans="1:6" ht="25.5" x14ac:dyDescent="0.25">
      <c r="A68" s="58">
        <v>64</v>
      </c>
      <c r="B68" s="3" t="s">
        <v>15</v>
      </c>
      <c r="C68" s="58" t="s">
        <v>91</v>
      </c>
      <c r="D68" s="7">
        <v>20</v>
      </c>
      <c r="E68" s="8">
        <v>25.68</v>
      </c>
      <c r="F68" s="5">
        <f t="shared" si="1"/>
        <v>513.6</v>
      </c>
    </row>
    <row r="69" spans="1:6" ht="25.5" x14ac:dyDescent="0.25">
      <c r="A69" s="58">
        <v>65</v>
      </c>
      <c r="B69" s="3" t="s">
        <v>16</v>
      </c>
      <c r="C69" s="58" t="s">
        <v>91</v>
      </c>
      <c r="D69" s="7">
        <v>20</v>
      </c>
      <c r="E69" s="8">
        <v>25.68</v>
      </c>
      <c r="F69" s="5">
        <f t="shared" si="1"/>
        <v>513.6</v>
      </c>
    </row>
    <row r="70" spans="1:6" ht="25.5" x14ac:dyDescent="0.25">
      <c r="A70" s="58">
        <v>66</v>
      </c>
      <c r="B70" s="3" t="s">
        <v>17</v>
      </c>
      <c r="C70" s="58" t="s">
        <v>91</v>
      </c>
      <c r="D70" s="7">
        <v>20</v>
      </c>
      <c r="E70" s="8">
        <v>25.68</v>
      </c>
      <c r="F70" s="5">
        <f t="shared" si="1"/>
        <v>513.6</v>
      </c>
    </row>
    <row r="71" spans="1:6" ht="25.5" x14ac:dyDescent="0.25">
      <c r="A71" s="58">
        <v>67</v>
      </c>
      <c r="B71" s="3" t="s">
        <v>83</v>
      </c>
      <c r="C71" s="58" t="s">
        <v>91</v>
      </c>
      <c r="D71" s="7">
        <v>700</v>
      </c>
      <c r="E71" s="8">
        <v>14.44</v>
      </c>
      <c r="F71" s="5">
        <f t="shared" ref="F71:F102" si="2">D71*E71</f>
        <v>10108</v>
      </c>
    </row>
    <row r="72" spans="1:6" ht="25.5" x14ac:dyDescent="0.25">
      <c r="A72" s="58">
        <v>68</v>
      </c>
      <c r="B72" s="3" t="s">
        <v>84</v>
      </c>
      <c r="C72" s="58" t="s">
        <v>91</v>
      </c>
      <c r="D72" s="7">
        <v>50</v>
      </c>
      <c r="E72" s="8">
        <v>24.61</v>
      </c>
      <c r="F72" s="5">
        <f t="shared" si="2"/>
        <v>1230.5</v>
      </c>
    </row>
    <row r="73" spans="1:6" x14ac:dyDescent="0.25">
      <c r="A73" s="58">
        <v>69</v>
      </c>
      <c r="B73" s="3" t="s">
        <v>18</v>
      </c>
      <c r="C73" s="58" t="s">
        <v>91</v>
      </c>
      <c r="D73" s="7">
        <v>10</v>
      </c>
      <c r="E73" s="8">
        <v>150</v>
      </c>
      <c r="F73" s="5">
        <f t="shared" si="2"/>
        <v>1500</v>
      </c>
    </row>
    <row r="74" spans="1:6" ht="15" customHeight="1" x14ac:dyDescent="0.25">
      <c r="A74" s="58">
        <v>70</v>
      </c>
      <c r="B74" s="3" t="s">
        <v>19</v>
      </c>
      <c r="C74" s="58" t="s">
        <v>91</v>
      </c>
      <c r="D74" s="7">
        <v>50</v>
      </c>
      <c r="E74" s="8">
        <v>10</v>
      </c>
      <c r="F74" s="5">
        <f t="shared" si="2"/>
        <v>500</v>
      </c>
    </row>
    <row r="75" spans="1:6" ht="15" customHeight="1" x14ac:dyDescent="0.25">
      <c r="A75" s="58">
        <v>71</v>
      </c>
      <c r="B75" s="3" t="s">
        <v>298</v>
      </c>
      <c r="C75" s="58" t="s">
        <v>297</v>
      </c>
      <c r="D75" s="7">
        <v>200</v>
      </c>
      <c r="E75" s="8">
        <v>11.28</v>
      </c>
      <c r="F75" s="5">
        <f t="shared" si="2"/>
        <v>2256</v>
      </c>
    </row>
    <row r="76" spans="1:6" ht="15" customHeight="1" x14ac:dyDescent="0.25">
      <c r="A76" s="58">
        <v>72</v>
      </c>
      <c r="B76" s="3" t="s">
        <v>299</v>
      </c>
      <c r="C76" s="58" t="s">
        <v>301</v>
      </c>
      <c r="D76" s="7">
        <v>300</v>
      </c>
      <c r="E76" s="8">
        <v>11.28</v>
      </c>
      <c r="F76" s="5">
        <f t="shared" si="2"/>
        <v>3384</v>
      </c>
    </row>
    <row r="77" spans="1:6" ht="15" customHeight="1" x14ac:dyDescent="0.25">
      <c r="A77" s="58">
        <v>73</v>
      </c>
      <c r="B77" s="3" t="s">
        <v>300</v>
      </c>
      <c r="C77" s="58" t="s">
        <v>297</v>
      </c>
      <c r="D77" s="7">
        <v>300</v>
      </c>
      <c r="E77" s="8">
        <v>7.87</v>
      </c>
      <c r="F77" s="5">
        <f t="shared" si="2"/>
        <v>2361</v>
      </c>
    </row>
    <row r="78" spans="1:6" ht="15" customHeight="1" x14ac:dyDescent="0.25">
      <c r="A78" s="58">
        <v>74</v>
      </c>
      <c r="B78" s="3" t="s">
        <v>302</v>
      </c>
      <c r="C78" s="58" t="s">
        <v>297</v>
      </c>
      <c r="D78" s="7">
        <v>300</v>
      </c>
      <c r="E78" s="8">
        <v>11.28</v>
      </c>
      <c r="F78" s="5">
        <f t="shared" si="2"/>
        <v>3384</v>
      </c>
    </row>
    <row r="79" spans="1:6" ht="15" customHeight="1" x14ac:dyDescent="0.25">
      <c r="A79" s="58">
        <v>75</v>
      </c>
      <c r="B79" s="3" t="s">
        <v>85</v>
      </c>
      <c r="C79" s="58" t="s">
        <v>91</v>
      </c>
      <c r="D79" s="7">
        <v>50</v>
      </c>
      <c r="E79" s="8">
        <v>6.51</v>
      </c>
      <c r="F79" s="5">
        <f t="shared" si="2"/>
        <v>325.5</v>
      </c>
    </row>
    <row r="80" spans="1:6" ht="15" customHeight="1" x14ac:dyDescent="0.25">
      <c r="A80" s="58">
        <v>76</v>
      </c>
      <c r="B80" s="3" t="s">
        <v>86</v>
      </c>
      <c r="C80" s="58" t="s">
        <v>91</v>
      </c>
      <c r="D80" s="7">
        <v>50</v>
      </c>
      <c r="E80" s="8">
        <v>6.51</v>
      </c>
      <c r="F80" s="5">
        <f t="shared" si="2"/>
        <v>325.5</v>
      </c>
    </row>
    <row r="81" spans="1:6" ht="15" customHeight="1" x14ac:dyDescent="0.25">
      <c r="A81" s="58">
        <v>77</v>
      </c>
      <c r="B81" s="3" t="s">
        <v>87</v>
      </c>
      <c r="C81" s="58" t="s">
        <v>91</v>
      </c>
      <c r="D81" s="7">
        <v>50</v>
      </c>
      <c r="E81" s="8">
        <v>7.85</v>
      </c>
      <c r="F81" s="5">
        <f t="shared" si="2"/>
        <v>392.5</v>
      </c>
    </row>
    <row r="82" spans="1:6" ht="15" customHeight="1" x14ac:dyDescent="0.25">
      <c r="A82" s="58">
        <v>78</v>
      </c>
      <c r="B82" s="3" t="s">
        <v>88</v>
      </c>
      <c r="C82" s="58" t="s">
        <v>91</v>
      </c>
      <c r="D82" s="7">
        <v>50</v>
      </c>
      <c r="E82" s="8">
        <v>7.85</v>
      </c>
      <c r="F82" s="5">
        <f t="shared" si="2"/>
        <v>392.5</v>
      </c>
    </row>
    <row r="83" spans="1:6" ht="15" customHeight="1" x14ac:dyDescent="0.25">
      <c r="A83" s="58">
        <v>79</v>
      </c>
      <c r="B83" s="3" t="s">
        <v>89</v>
      </c>
      <c r="C83" s="58" t="s">
        <v>91</v>
      </c>
      <c r="D83" s="7">
        <v>100</v>
      </c>
      <c r="E83" s="8">
        <v>9.99</v>
      </c>
      <c r="F83" s="5">
        <f t="shared" si="2"/>
        <v>999</v>
      </c>
    </row>
    <row r="84" spans="1:6" ht="15" customHeight="1" x14ac:dyDescent="0.25">
      <c r="A84" s="58">
        <v>80</v>
      </c>
      <c r="B84" s="3" t="s">
        <v>90</v>
      </c>
      <c r="C84" s="58" t="s">
        <v>91</v>
      </c>
      <c r="D84" s="7">
        <v>100</v>
      </c>
      <c r="E84" s="8">
        <v>9.99</v>
      </c>
      <c r="F84" s="5">
        <f t="shared" si="2"/>
        <v>999</v>
      </c>
    </row>
    <row r="85" spans="1:6" x14ac:dyDescent="0.25">
      <c r="A85" s="58">
        <v>81</v>
      </c>
      <c r="B85" s="3" t="s">
        <v>20</v>
      </c>
      <c r="C85" s="58" t="s">
        <v>91</v>
      </c>
      <c r="D85" s="7">
        <v>10</v>
      </c>
      <c r="E85" s="8">
        <v>6.64</v>
      </c>
      <c r="F85" s="5">
        <f t="shared" si="2"/>
        <v>66.399999999999991</v>
      </c>
    </row>
    <row r="86" spans="1:6" x14ac:dyDescent="0.25">
      <c r="A86" s="58">
        <v>82</v>
      </c>
      <c r="B86" s="3" t="s">
        <v>111</v>
      </c>
      <c r="C86" s="58" t="s">
        <v>91</v>
      </c>
      <c r="D86" s="7">
        <v>10</v>
      </c>
      <c r="E86" s="8">
        <v>25.9</v>
      </c>
      <c r="F86" s="5">
        <f t="shared" si="2"/>
        <v>259</v>
      </c>
    </row>
    <row r="87" spans="1:6" x14ac:dyDescent="0.25">
      <c r="A87" s="58">
        <v>83</v>
      </c>
      <c r="B87" s="3" t="s">
        <v>106</v>
      </c>
      <c r="C87" s="58" t="s">
        <v>91</v>
      </c>
      <c r="D87" s="7">
        <v>10</v>
      </c>
      <c r="E87" s="8">
        <v>12</v>
      </c>
      <c r="F87" s="5">
        <f t="shared" si="2"/>
        <v>120</v>
      </c>
    </row>
    <row r="88" spans="1:6" x14ac:dyDescent="0.25">
      <c r="A88" s="58">
        <v>84</v>
      </c>
      <c r="B88" s="3" t="s">
        <v>107</v>
      </c>
      <c r="C88" s="58" t="s">
        <v>91</v>
      </c>
      <c r="D88" s="7">
        <v>10</v>
      </c>
      <c r="E88" s="8">
        <v>17</v>
      </c>
      <c r="F88" s="5">
        <f t="shared" si="2"/>
        <v>170</v>
      </c>
    </row>
    <row r="89" spans="1:6" x14ac:dyDescent="0.25">
      <c r="A89" s="58">
        <v>85</v>
      </c>
      <c r="B89" s="3" t="s">
        <v>108</v>
      </c>
      <c r="C89" s="58" t="s">
        <v>109</v>
      </c>
      <c r="D89" s="7">
        <v>3</v>
      </c>
      <c r="E89" s="8">
        <v>75</v>
      </c>
      <c r="F89" s="5">
        <f t="shared" si="2"/>
        <v>225</v>
      </c>
    </row>
    <row r="90" spans="1:6" x14ac:dyDescent="0.25">
      <c r="A90" s="58">
        <v>86</v>
      </c>
      <c r="B90" s="3" t="s">
        <v>110</v>
      </c>
      <c r="C90" s="58" t="s">
        <v>91</v>
      </c>
      <c r="D90" s="7">
        <v>10</v>
      </c>
      <c r="E90" s="8">
        <v>11</v>
      </c>
      <c r="F90" s="5">
        <f t="shared" si="2"/>
        <v>110</v>
      </c>
    </row>
    <row r="91" spans="1:6" x14ac:dyDescent="0.25">
      <c r="A91" s="58">
        <v>87</v>
      </c>
      <c r="B91" s="3" t="s">
        <v>112</v>
      </c>
      <c r="C91" s="58" t="s">
        <v>113</v>
      </c>
      <c r="D91" s="7">
        <v>20</v>
      </c>
      <c r="E91" s="8">
        <v>45</v>
      </c>
      <c r="F91" s="5">
        <f t="shared" si="2"/>
        <v>900</v>
      </c>
    </row>
    <row r="92" spans="1:6" x14ac:dyDescent="0.25">
      <c r="A92" s="58">
        <v>88</v>
      </c>
      <c r="B92" s="3" t="s">
        <v>114</v>
      </c>
      <c r="C92" s="58" t="s">
        <v>113</v>
      </c>
      <c r="D92" s="7">
        <v>20</v>
      </c>
      <c r="E92" s="8">
        <v>10.9</v>
      </c>
      <c r="F92" s="5">
        <f t="shared" si="2"/>
        <v>218</v>
      </c>
    </row>
    <row r="93" spans="1:6" x14ac:dyDescent="0.25">
      <c r="A93" s="58">
        <v>89</v>
      </c>
      <c r="B93" s="3" t="s">
        <v>117</v>
      </c>
      <c r="C93" s="58" t="s">
        <v>182</v>
      </c>
      <c r="D93" s="7">
        <v>10</v>
      </c>
      <c r="E93" s="8">
        <v>12.02</v>
      </c>
      <c r="F93" s="5">
        <f t="shared" si="2"/>
        <v>120.19999999999999</v>
      </c>
    </row>
    <row r="94" spans="1:6" x14ac:dyDescent="0.25">
      <c r="A94" s="58">
        <v>90</v>
      </c>
      <c r="B94" s="3" t="s">
        <v>212</v>
      </c>
      <c r="C94" s="58" t="s">
        <v>182</v>
      </c>
      <c r="D94" s="7">
        <v>10</v>
      </c>
      <c r="E94" s="8">
        <v>3.36</v>
      </c>
      <c r="F94" s="5">
        <f t="shared" si="2"/>
        <v>33.6</v>
      </c>
    </row>
    <row r="95" spans="1:6" x14ac:dyDescent="0.25">
      <c r="A95" s="58">
        <v>91</v>
      </c>
      <c r="B95" s="3" t="s">
        <v>214</v>
      </c>
      <c r="C95" s="58" t="s">
        <v>182</v>
      </c>
      <c r="D95" s="7">
        <v>5</v>
      </c>
      <c r="E95" s="8">
        <v>6.8</v>
      </c>
      <c r="F95" s="5">
        <f t="shared" si="2"/>
        <v>34</v>
      </c>
    </row>
    <row r="96" spans="1:6" x14ac:dyDescent="0.25">
      <c r="A96" s="58">
        <v>92</v>
      </c>
      <c r="B96" s="3" t="s">
        <v>183</v>
      </c>
      <c r="C96" s="58" t="s">
        <v>91</v>
      </c>
      <c r="D96" s="7">
        <v>50</v>
      </c>
      <c r="E96" s="8">
        <v>0.85</v>
      </c>
      <c r="F96" s="5">
        <f t="shared" si="2"/>
        <v>42.5</v>
      </c>
    </row>
    <row r="97" spans="1:7" x14ac:dyDescent="0.25">
      <c r="A97" s="58">
        <v>93</v>
      </c>
      <c r="B97" s="3" t="s">
        <v>184</v>
      </c>
      <c r="C97" s="58" t="s">
        <v>91</v>
      </c>
      <c r="D97" s="7">
        <v>50</v>
      </c>
      <c r="E97" s="8">
        <v>0.15</v>
      </c>
      <c r="F97" s="5">
        <f t="shared" si="2"/>
        <v>7.5</v>
      </c>
    </row>
    <row r="98" spans="1:7" x14ac:dyDescent="0.25">
      <c r="A98" s="58">
        <v>94</v>
      </c>
      <c r="B98" s="3" t="s">
        <v>185</v>
      </c>
      <c r="C98" s="58" t="s">
        <v>186</v>
      </c>
      <c r="D98" s="7">
        <v>10</v>
      </c>
      <c r="E98" s="8">
        <v>1.57</v>
      </c>
      <c r="F98" s="5">
        <f t="shared" si="2"/>
        <v>15.700000000000001</v>
      </c>
    </row>
    <row r="99" spans="1:7" x14ac:dyDescent="0.25">
      <c r="A99" s="58">
        <v>95</v>
      </c>
      <c r="B99" s="3" t="s">
        <v>197</v>
      </c>
      <c r="C99" s="58" t="s">
        <v>91</v>
      </c>
      <c r="D99" s="7">
        <v>5</v>
      </c>
      <c r="E99" s="8">
        <v>29.3</v>
      </c>
      <c r="F99" s="5">
        <f t="shared" si="2"/>
        <v>146.5</v>
      </c>
    </row>
    <row r="100" spans="1:7" x14ac:dyDescent="0.25">
      <c r="A100" s="58">
        <v>96</v>
      </c>
      <c r="B100" s="3" t="s">
        <v>187</v>
      </c>
      <c r="C100" s="58" t="s">
        <v>91</v>
      </c>
      <c r="D100" s="7">
        <v>5</v>
      </c>
      <c r="E100" s="8">
        <v>4.7</v>
      </c>
      <c r="F100" s="5">
        <f t="shared" si="2"/>
        <v>23.5</v>
      </c>
    </row>
    <row r="101" spans="1:7" ht="15.75" x14ac:dyDescent="0.25">
      <c r="A101" s="58">
        <v>97</v>
      </c>
      <c r="B101" s="3" t="s">
        <v>188</v>
      </c>
      <c r="C101" s="58" t="s">
        <v>91</v>
      </c>
      <c r="D101" s="7">
        <v>10</v>
      </c>
      <c r="E101" s="8">
        <v>12.2</v>
      </c>
      <c r="F101" s="5">
        <f t="shared" si="2"/>
        <v>122</v>
      </c>
      <c r="G101" s="35"/>
    </row>
    <row r="102" spans="1:7" x14ac:dyDescent="0.25">
      <c r="A102" s="58">
        <v>98</v>
      </c>
      <c r="B102" s="3" t="s">
        <v>189</v>
      </c>
      <c r="C102" s="58" t="s">
        <v>91</v>
      </c>
      <c r="D102" s="7">
        <v>20</v>
      </c>
      <c r="E102" s="8">
        <v>2.69</v>
      </c>
      <c r="F102" s="5">
        <f t="shared" si="2"/>
        <v>53.8</v>
      </c>
      <c r="G102" s="36"/>
    </row>
    <row r="103" spans="1:7" x14ac:dyDescent="0.25">
      <c r="A103" s="58">
        <v>99</v>
      </c>
      <c r="B103" s="3" t="s">
        <v>190</v>
      </c>
      <c r="C103" s="58" t="s">
        <v>91</v>
      </c>
      <c r="D103" s="7">
        <v>20</v>
      </c>
      <c r="E103" s="8">
        <v>4.3499999999999996</v>
      </c>
      <c r="F103" s="5">
        <f t="shared" ref="F103:F134" si="3">D103*E103</f>
        <v>87</v>
      </c>
      <c r="G103" s="27"/>
    </row>
    <row r="104" spans="1:7" x14ac:dyDescent="0.25">
      <c r="A104" s="58">
        <v>100</v>
      </c>
      <c r="B104" s="3" t="s">
        <v>193</v>
      </c>
      <c r="C104" s="58" t="s">
        <v>91</v>
      </c>
      <c r="D104" s="7">
        <v>2</v>
      </c>
      <c r="E104" s="8">
        <v>13.2</v>
      </c>
      <c r="F104" s="5">
        <f t="shared" si="3"/>
        <v>26.4</v>
      </c>
      <c r="G104" s="2"/>
    </row>
    <row r="105" spans="1:7" x14ac:dyDescent="0.25">
      <c r="A105" s="58">
        <v>101</v>
      </c>
      <c r="B105" s="3" t="s">
        <v>194</v>
      </c>
      <c r="C105" s="58" t="s">
        <v>91</v>
      </c>
      <c r="D105" s="7">
        <v>10</v>
      </c>
      <c r="E105" s="8">
        <v>2.5499999999999998</v>
      </c>
      <c r="F105" s="5">
        <f t="shared" si="3"/>
        <v>25.5</v>
      </c>
    </row>
    <row r="106" spans="1:7" ht="25.5" x14ac:dyDescent="0.25">
      <c r="A106" s="58">
        <v>102</v>
      </c>
      <c r="B106" s="3" t="s">
        <v>195</v>
      </c>
      <c r="C106" s="58" t="s">
        <v>91</v>
      </c>
      <c r="D106" s="7">
        <v>5</v>
      </c>
      <c r="E106" s="8">
        <v>16</v>
      </c>
      <c r="F106" s="5">
        <f t="shared" si="3"/>
        <v>80</v>
      </c>
      <c r="G106" s="38"/>
    </row>
    <row r="107" spans="1:7" x14ac:dyDescent="0.25">
      <c r="A107" s="58">
        <v>103</v>
      </c>
      <c r="B107" s="3" t="s">
        <v>196</v>
      </c>
      <c r="C107" s="58" t="s">
        <v>91</v>
      </c>
      <c r="D107" s="7">
        <v>10</v>
      </c>
      <c r="E107" s="8">
        <v>7</v>
      </c>
      <c r="F107" s="5">
        <f t="shared" si="3"/>
        <v>70</v>
      </c>
    </row>
    <row r="108" spans="1:7" x14ac:dyDescent="0.25">
      <c r="A108" s="58">
        <v>104</v>
      </c>
      <c r="B108" s="3" t="s">
        <v>118</v>
      </c>
      <c r="C108" s="58" t="s">
        <v>198</v>
      </c>
      <c r="D108" s="7">
        <v>5</v>
      </c>
      <c r="E108" s="8">
        <v>15.2</v>
      </c>
      <c r="F108" s="5">
        <f t="shared" si="3"/>
        <v>76</v>
      </c>
    </row>
    <row r="109" spans="1:7" x14ac:dyDescent="0.25">
      <c r="A109" s="58">
        <v>105</v>
      </c>
      <c r="B109" s="3" t="s">
        <v>119</v>
      </c>
      <c r="C109" s="58" t="s">
        <v>198</v>
      </c>
      <c r="D109" s="7">
        <v>2</v>
      </c>
      <c r="E109" s="8">
        <v>12.35</v>
      </c>
      <c r="F109" s="5">
        <f t="shared" si="3"/>
        <v>24.7</v>
      </c>
    </row>
    <row r="110" spans="1:7" x14ac:dyDescent="0.25">
      <c r="A110" s="58">
        <v>106</v>
      </c>
      <c r="B110" s="3" t="s">
        <v>120</v>
      </c>
      <c r="C110" s="58" t="s">
        <v>198</v>
      </c>
      <c r="D110" s="7">
        <v>5</v>
      </c>
      <c r="E110" s="8">
        <v>5.0999999999999996</v>
      </c>
      <c r="F110" s="5">
        <f t="shared" si="3"/>
        <v>25.5</v>
      </c>
    </row>
    <row r="111" spans="1:7" x14ac:dyDescent="0.25">
      <c r="A111" s="58">
        <v>107</v>
      </c>
      <c r="B111" s="3" t="s">
        <v>199</v>
      </c>
      <c r="C111" s="58" t="s">
        <v>91</v>
      </c>
      <c r="D111" s="7">
        <v>20</v>
      </c>
      <c r="E111" s="8">
        <v>19.899999999999999</v>
      </c>
      <c r="F111" s="5">
        <f t="shared" si="3"/>
        <v>398</v>
      </c>
    </row>
    <row r="112" spans="1:7" x14ac:dyDescent="0.25">
      <c r="A112" s="58">
        <v>108</v>
      </c>
      <c r="B112" s="3" t="s">
        <v>200</v>
      </c>
      <c r="C112" s="58" t="s">
        <v>91</v>
      </c>
      <c r="D112" s="7">
        <v>100</v>
      </c>
      <c r="E112" s="8">
        <v>3.41</v>
      </c>
      <c r="F112" s="5">
        <f t="shared" si="3"/>
        <v>341</v>
      </c>
    </row>
    <row r="113" spans="1:10" x14ac:dyDescent="0.25">
      <c r="A113" s="58">
        <v>109</v>
      </c>
      <c r="B113" s="3" t="s">
        <v>121</v>
      </c>
      <c r="C113" s="58" t="s">
        <v>198</v>
      </c>
      <c r="D113" s="7">
        <v>3</v>
      </c>
      <c r="E113" s="8">
        <v>14.37</v>
      </c>
      <c r="F113" s="5">
        <f t="shared" si="3"/>
        <v>43.11</v>
      </c>
    </row>
    <row r="114" spans="1:10" ht="25.5" x14ac:dyDescent="0.25">
      <c r="A114" s="58">
        <v>110</v>
      </c>
      <c r="B114" s="3" t="s">
        <v>122</v>
      </c>
      <c r="C114" s="58" t="s">
        <v>91</v>
      </c>
      <c r="D114" s="7">
        <v>50</v>
      </c>
      <c r="E114" s="8">
        <v>0.42</v>
      </c>
      <c r="F114" s="5">
        <f t="shared" si="3"/>
        <v>21</v>
      </c>
    </row>
    <row r="115" spans="1:10" x14ac:dyDescent="0.25">
      <c r="A115" s="58">
        <v>111</v>
      </c>
      <c r="B115" s="3" t="s">
        <v>201</v>
      </c>
      <c r="C115" s="58" t="s">
        <v>202</v>
      </c>
      <c r="D115" s="7">
        <v>30</v>
      </c>
      <c r="E115" s="8">
        <v>26.74</v>
      </c>
      <c r="F115" s="5">
        <f t="shared" si="3"/>
        <v>802.19999999999993</v>
      </c>
    </row>
    <row r="116" spans="1:10" x14ac:dyDescent="0.25">
      <c r="A116" s="58">
        <v>112</v>
      </c>
      <c r="B116" s="3" t="s">
        <v>123</v>
      </c>
      <c r="C116" s="58" t="s">
        <v>198</v>
      </c>
      <c r="D116" s="7">
        <v>5</v>
      </c>
      <c r="E116" s="8">
        <v>13.31</v>
      </c>
      <c r="F116" s="5">
        <f t="shared" si="3"/>
        <v>66.55</v>
      </c>
    </row>
    <row r="117" spans="1:10" x14ac:dyDescent="0.25">
      <c r="A117" s="58">
        <v>113</v>
      </c>
      <c r="B117" s="3" t="s">
        <v>124</v>
      </c>
      <c r="C117" s="58" t="s">
        <v>182</v>
      </c>
      <c r="D117" s="7">
        <v>10</v>
      </c>
      <c r="E117" s="8">
        <v>9.35</v>
      </c>
      <c r="F117" s="5">
        <f t="shared" si="3"/>
        <v>93.5</v>
      </c>
    </row>
    <row r="118" spans="1:10" x14ac:dyDescent="0.25">
      <c r="A118" s="58">
        <v>114</v>
      </c>
      <c r="B118" s="3" t="s">
        <v>125</v>
      </c>
      <c r="C118" s="58" t="s">
        <v>204</v>
      </c>
      <c r="D118" s="7">
        <v>300</v>
      </c>
      <c r="E118" s="8">
        <v>0.1</v>
      </c>
      <c r="F118" s="5">
        <f t="shared" si="3"/>
        <v>30</v>
      </c>
    </row>
    <row r="119" spans="1:10" x14ac:dyDescent="0.25">
      <c r="A119" s="58">
        <v>115</v>
      </c>
      <c r="B119" s="3" t="s">
        <v>126</v>
      </c>
      <c r="C119" s="58" t="s">
        <v>198</v>
      </c>
      <c r="D119" s="7">
        <v>10</v>
      </c>
      <c r="E119" s="8">
        <v>5.15</v>
      </c>
      <c r="F119" s="5">
        <f t="shared" si="3"/>
        <v>51.5</v>
      </c>
    </row>
    <row r="120" spans="1:10" x14ac:dyDescent="0.25">
      <c r="A120" s="58">
        <v>116</v>
      </c>
      <c r="B120" s="3" t="s">
        <v>205</v>
      </c>
      <c r="C120" s="58" t="s">
        <v>202</v>
      </c>
      <c r="D120" s="7">
        <v>20</v>
      </c>
      <c r="E120" s="8">
        <v>3.19</v>
      </c>
      <c r="F120" s="5">
        <f t="shared" si="3"/>
        <v>63.8</v>
      </c>
    </row>
    <row r="121" spans="1:10" x14ac:dyDescent="0.25">
      <c r="A121" s="58">
        <v>117</v>
      </c>
      <c r="B121" s="3" t="s">
        <v>127</v>
      </c>
      <c r="C121" s="58" t="s">
        <v>204</v>
      </c>
      <c r="D121" s="7">
        <v>50</v>
      </c>
      <c r="E121" s="8">
        <v>0.12</v>
      </c>
      <c r="F121" s="5">
        <f t="shared" si="3"/>
        <v>6</v>
      </c>
    </row>
    <row r="122" spans="1:10" x14ac:dyDescent="0.25">
      <c r="A122" s="58">
        <v>118</v>
      </c>
      <c r="B122" s="3" t="s">
        <v>128</v>
      </c>
      <c r="C122" s="58" t="s">
        <v>198</v>
      </c>
      <c r="D122" s="7">
        <v>2</v>
      </c>
      <c r="E122" s="8">
        <v>5.73</v>
      </c>
      <c r="F122" s="5">
        <f t="shared" si="3"/>
        <v>11.46</v>
      </c>
    </row>
    <row r="123" spans="1:10" x14ac:dyDescent="0.25">
      <c r="A123" s="58">
        <v>119</v>
      </c>
      <c r="B123" s="3" t="s">
        <v>129</v>
      </c>
      <c r="C123" s="58" t="s">
        <v>182</v>
      </c>
      <c r="D123" s="7">
        <v>5</v>
      </c>
      <c r="E123" s="8">
        <v>2.2400000000000002</v>
      </c>
      <c r="F123" s="5">
        <f t="shared" si="3"/>
        <v>11.200000000000001</v>
      </c>
    </row>
    <row r="124" spans="1:10" x14ac:dyDescent="0.25">
      <c r="A124" s="58">
        <v>120</v>
      </c>
      <c r="B124" s="3" t="s">
        <v>206</v>
      </c>
      <c r="C124" s="58" t="s">
        <v>204</v>
      </c>
      <c r="D124" s="7">
        <v>1</v>
      </c>
      <c r="E124" s="8">
        <v>29.64</v>
      </c>
      <c r="F124" s="5">
        <f t="shared" si="3"/>
        <v>29.64</v>
      </c>
    </row>
    <row r="125" spans="1:10" x14ac:dyDescent="0.25">
      <c r="A125" s="58">
        <v>121</v>
      </c>
      <c r="B125" s="3" t="s">
        <v>211</v>
      </c>
      <c r="C125" s="58" t="s">
        <v>204</v>
      </c>
      <c r="D125" s="7">
        <v>10</v>
      </c>
      <c r="E125" s="8">
        <v>3.1</v>
      </c>
      <c r="F125" s="5">
        <f t="shared" si="3"/>
        <v>31</v>
      </c>
    </row>
    <row r="126" spans="1:10" x14ac:dyDescent="0.25">
      <c r="A126" s="58">
        <v>122</v>
      </c>
      <c r="B126" s="3" t="s">
        <v>130</v>
      </c>
      <c r="C126" s="7" t="s">
        <v>192</v>
      </c>
      <c r="D126" s="7">
        <v>50</v>
      </c>
      <c r="E126" s="28">
        <v>1.5</v>
      </c>
      <c r="F126" s="5">
        <f t="shared" si="3"/>
        <v>75</v>
      </c>
      <c r="G126" s="40"/>
      <c r="H126" s="33"/>
      <c r="I126" s="33"/>
      <c r="J126" s="34"/>
    </row>
    <row r="127" spans="1:10" x14ac:dyDescent="0.25">
      <c r="A127" s="58">
        <v>123</v>
      </c>
      <c r="B127" s="3" t="s">
        <v>131</v>
      </c>
      <c r="C127" s="58" t="s">
        <v>198</v>
      </c>
      <c r="D127" s="7">
        <v>5</v>
      </c>
      <c r="E127" s="8">
        <v>4</v>
      </c>
      <c r="F127" s="5">
        <f t="shared" si="3"/>
        <v>20</v>
      </c>
    </row>
    <row r="128" spans="1:10" x14ac:dyDescent="0.25">
      <c r="A128" s="58">
        <v>124</v>
      </c>
      <c r="B128" s="3" t="s">
        <v>240</v>
      </c>
      <c r="C128" s="7" t="s">
        <v>192</v>
      </c>
      <c r="D128" s="7">
        <v>5</v>
      </c>
      <c r="E128" s="8">
        <v>8</v>
      </c>
      <c r="F128" s="5">
        <f t="shared" si="3"/>
        <v>40</v>
      </c>
    </row>
    <row r="129" spans="1:6" x14ac:dyDescent="0.25">
      <c r="A129" s="58">
        <v>125</v>
      </c>
      <c r="B129" s="3" t="s">
        <v>241</v>
      </c>
      <c r="C129" s="7" t="s">
        <v>192</v>
      </c>
      <c r="D129" s="7">
        <v>5</v>
      </c>
      <c r="E129" s="8">
        <v>7.9</v>
      </c>
      <c r="F129" s="5">
        <f t="shared" si="3"/>
        <v>39.5</v>
      </c>
    </row>
    <row r="130" spans="1:6" x14ac:dyDescent="0.25">
      <c r="A130" s="58">
        <v>126</v>
      </c>
      <c r="B130" s="3" t="s">
        <v>132</v>
      </c>
      <c r="C130" s="58" t="s">
        <v>182</v>
      </c>
      <c r="D130" s="7">
        <v>3</v>
      </c>
      <c r="E130" s="8">
        <v>13.5</v>
      </c>
      <c r="F130" s="5">
        <f t="shared" si="3"/>
        <v>40.5</v>
      </c>
    </row>
    <row r="131" spans="1:6" x14ac:dyDescent="0.25">
      <c r="A131" s="58">
        <v>127</v>
      </c>
      <c r="B131" s="3" t="s">
        <v>213</v>
      </c>
      <c r="C131" s="58" t="s">
        <v>204</v>
      </c>
      <c r="D131" s="7">
        <v>30</v>
      </c>
      <c r="E131" s="8">
        <v>1.73</v>
      </c>
      <c r="F131" s="5">
        <f t="shared" si="3"/>
        <v>51.9</v>
      </c>
    </row>
    <row r="132" spans="1:6" x14ac:dyDescent="0.25">
      <c r="A132" s="58">
        <v>128</v>
      </c>
      <c r="B132" s="3" t="s">
        <v>209</v>
      </c>
      <c r="C132" s="58" t="s">
        <v>192</v>
      </c>
      <c r="D132" s="7">
        <v>15</v>
      </c>
      <c r="E132" s="8">
        <v>1.43</v>
      </c>
      <c r="F132" s="5">
        <f t="shared" si="3"/>
        <v>21.45</v>
      </c>
    </row>
    <row r="133" spans="1:6" ht="25.5" x14ac:dyDescent="0.25">
      <c r="A133" s="58">
        <v>129</v>
      </c>
      <c r="B133" s="3" t="s">
        <v>210</v>
      </c>
      <c r="C133" s="58" t="s">
        <v>192</v>
      </c>
      <c r="D133" s="7">
        <v>10</v>
      </c>
      <c r="E133" s="8">
        <v>18.28</v>
      </c>
      <c r="F133" s="5">
        <f t="shared" si="3"/>
        <v>182.8</v>
      </c>
    </row>
    <row r="134" spans="1:6" x14ac:dyDescent="0.25">
      <c r="A134" s="58">
        <v>130</v>
      </c>
      <c r="B134" s="3" t="s">
        <v>191</v>
      </c>
      <c r="C134" s="58" t="s">
        <v>192</v>
      </c>
      <c r="D134" s="7">
        <v>3</v>
      </c>
      <c r="E134" s="8">
        <v>50.45</v>
      </c>
      <c r="F134" s="5">
        <f t="shared" si="3"/>
        <v>151.35000000000002</v>
      </c>
    </row>
    <row r="135" spans="1:6" x14ac:dyDescent="0.25">
      <c r="A135" s="58">
        <v>131</v>
      </c>
      <c r="B135" s="3" t="s">
        <v>133</v>
      </c>
      <c r="C135" s="58" t="s">
        <v>192</v>
      </c>
      <c r="D135" s="7">
        <v>10</v>
      </c>
      <c r="E135" s="8">
        <v>12</v>
      </c>
      <c r="F135" s="5">
        <f t="shared" ref="F135:F137" si="4">D135*E135</f>
        <v>120</v>
      </c>
    </row>
    <row r="136" spans="1:6" x14ac:dyDescent="0.25">
      <c r="A136" s="58">
        <v>132</v>
      </c>
      <c r="B136" s="3" t="s">
        <v>207</v>
      </c>
      <c r="C136" s="58" t="s">
        <v>192</v>
      </c>
      <c r="D136" s="7">
        <v>3</v>
      </c>
      <c r="E136" s="58">
        <v>2.4</v>
      </c>
      <c r="F136" s="5">
        <f t="shared" si="4"/>
        <v>7.1999999999999993</v>
      </c>
    </row>
    <row r="137" spans="1:6" x14ac:dyDescent="0.25">
      <c r="A137" s="58">
        <v>133</v>
      </c>
      <c r="B137" s="3" t="s">
        <v>208</v>
      </c>
      <c r="C137" s="58" t="s">
        <v>192</v>
      </c>
      <c r="D137" s="7">
        <v>3</v>
      </c>
      <c r="E137" s="58">
        <v>6.95</v>
      </c>
      <c r="F137" s="5">
        <f t="shared" si="4"/>
        <v>20.85</v>
      </c>
    </row>
    <row r="138" spans="1:6" ht="15" customHeight="1" x14ac:dyDescent="0.25">
      <c r="A138" s="58"/>
      <c r="B138" s="514" t="s">
        <v>287</v>
      </c>
      <c r="C138" s="515"/>
      <c r="D138" s="515"/>
      <c r="E138" s="516"/>
      <c r="F138" s="12">
        <f>SUM(F7:F92)</f>
        <v>93537.989999999991</v>
      </c>
    </row>
    <row r="139" spans="1:6" ht="27" customHeight="1" x14ac:dyDescent="0.25">
      <c r="A139" s="519" t="s">
        <v>239</v>
      </c>
      <c r="B139" s="520"/>
      <c r="C139" s="520"/>
      <c r="D139" s="520"/>
      <c r="E139" s="520"/>
      <c r="F139" s="521"/>
    </row>
    <row r="140" spans="1:6" ht="18" customHeight="1" x14ac:dyDescent="0.25">
      <c r="A140" s="58">
        <v>134</v>
      </c>
      <c r="B140" s="3" t="s">
        <v>150</v>
      </c>
      <c r="C140" s="58" t="s">
        <v>92</v>
      </c>
      <c r="D140" s="7">
        <v>200</v>
      </c>
      <c r="E140" s="45">
        <v>3.51</v>
      </c>
      <c r="F140" s="45">
        <f t="shared" ref="F140:F157" si="5">D140*E140</f>
        <v>702</v>
      </c>
    </row>
    <row r="141" spans="1:6" ht="24" customHeight="1" x14ac:dyDescent="0.25">
      <c r="A141" s="58">
        <v>135</v>
      </c>
      <c r="B141" s="3" t="s">
        <v>160</v>
      </c>
      <c r="C141" s="58" t="s">
        <v>92</v>
      </c>
      <c r="D141" s="7">
        <v>300</v>
      </c>
      <c r="E141" s="45">
        <v>3.95</v>
      </c>
      <c r="F141" s="45">
        <f t="shared" si="5"/>
        <v>1185</v>
      </c>
    </row>
    <row r="142" spans="1:6" ht="18" customHeight="1" x14ac:dyDescent="0.25">
      <c r="A142" s="58">
        <v>136</v>
      </c>
      <c r="B142" s="3" t="s">
        <v>162</v>
      </c>
      <c r="C142" s="58" t="s">
        <v>91</v>
      </c>
      <c r="D142" s="7">
        <v>2</v>
      </c>
      <c r="E142" s="45">
        <v>100</v>
      </c>
      <c r="F142" s="45">
        <f t="shared" si="5"/>
        <v>200</v>
      </c>
    </row>
    <row r="143" spans="1:6" ht="18" customHeight="1" x14ac:dyDescent="0.25">
      <c r="A143" s="58">
        <v>137</v>
      </c>
      <c r="B143" s="3" t="s">
        <v>163</v>
      </c>
      <c r="C143" s="58" t="s">
        <v>91</v>
      </c>
      <c r="D143" s="7">
        <v>2</v>
      </c>
      <c r="E143" s="45">
        <v>100</v>
      </c>
      <c r="F143" s="45">
        <f t="shared" si="5"/>
        <v>200</v>
      </c>
    </row>
    <row r="144" spans="1:6" ht="18" customHeight="1" x14ac:dyDescent="0.25">
      <c r="A144" s="58">
        <v>138</v>
      </c>
      <c r="B144" s="3" t="s">
        <v>164</v>
      </c>
      <c r="C144" s="58" t="s">
        <v>91</v>
      </c>
      <c r="D144" s="7">
        <v>5</v>
      </c>
      <c r="E144" s="45">
        <v>100</v>
      </c>
      <c r="F144" s="45">
        <f t="shared" si="5"/>
        <v>500</v>
      </c>
    </row>
    <row r="145" spans="1:6" ht="18" customHeight="1" x14ac:dyDescent="0.25">
      <c r="A145" s="58">
        <v>139</v>
      </c>
      <c r="B145" s="3" t="s">
        <v>165</v>
      </c>
      <c r="C145" s="58" t="s">
        <v>91</v>
      </c>
      <c r="D145" s="7">
        <v>10</v>
      </c>
      <c r="E145" s="45">
        <v>418.75</v>
      </c>
      <c r="F145" s="45">
        <f t="shared" si="5"/>
        <v>4187.5</v>
      </c>
    </row>
    <row r="146" spans="1:6" ht="18" customHeight="1" x14ac:dyDescent="0.25">
      <c r="A146" s="58">
        <v>140</v>
      </c>
      <c r="B146" s="3" t="s">
        <v>166</v>
      </c>
      <c r="C146" s="58" t="s">
        <v>91</v>
      </c>
      <c r="D146" s="7">
        <v>10</v>
      </c>
      <c r="E146" s="45">
        <v>383.9</v>
      </c>
      <c r="F146" s="45">
        <f t="shared" si="5"/>
        <v>3839</v>
      </c>
    </row>
    <row r="147" spans="1:6" ht="18" customHeight="1" x14ac:dyDescent="0.25">
      <c r="A147" s="58">
        <v>141</v>
      </c>
      <c r="B147" s="3" t="s">
        <v>167</v>
      </c>
      <c r="C147" s="58" t="s">
        <v>91</v>
      </c>
      <c r="D147" s="7">
        <v>5</v>
      </c>
      <c r="E147" s="45">
        <v>389.77</v>
      </c>
      <c r="F147" s="45">
        <f t="shared" si="5"/>
        <v>1948.85</v>
      </c>
    </row>
    <row r="148" spans="1:6" ht="18" customHeight="1" x14ac:dyDescent="0.25">
      <c r="A148" s="58">
        <v>142</v>
      </c>
      <c r="B148" s="3" t="s">
        <v>168</v>
      </c>
      <c r="C148" s="58" t="s">
        <v>91</v>
      </c>
      <c r="D148" s="7">
        <v>5</v>
      </c>
      <c r="E148" s="45">
        <v>595.69000000000005</v>
      </c>
      <c r="F148" s="45">
        <f t="shared" si="5"/>
        <v>2978.4500000000003</v>
      </c>
    </row>
    <row r="149" spans="1:6" ht="18" customHeight="1" x14ac:dyDescent="0.25">
      <c r="A149" s="58">
        <v>143</v>
      </c>
      <c r="B149" s="3" t="s">
        <v>169</v>
      </c>
      <c r="C149" s="58" t="s">
        <v>91</v>
      </c>
      <c r="D149" s="7">
        <v>5</v>
      </c>
      <c r="E149" s="45">
        <v>424.29</v>
      </c>
      <c r="F149" s="45">
        <f t="shared" si="5"/>
        <v>2121.4500000000003</v>
      </c>
    </row>
    <row r="150" spans="1:6" ht="18" customHeight="1" x14ac:dyDescent="0.25">
      <c r="A150" s="58">
        <v>144</v>
      </c>
      <c r="B150" s="3" t="s">
        <v>170</v>
      </c>
      <c r="C150" s="58" t="s">
        <v>91</v>
      </c>
      <c r="D150" s="7">
        <v>5</v>
      </c>
      <c r="E150" s="45">
        <v>598.96</v>
      </c>
      <c r="F150" s="45">
        <f t="shared" si="5"/>
        <v>2994.8</v>
      </c>
    </row>
    <row r="151" spans="1:6" ht="18" customHeight="1" x14ac:dyDescent="0.25">
      <c r="A151" s="58">
        <v>145</v>
      </c>
      <c r="B151" s="3" t="s">
        <v>171</v>
      </c>
      <c r="C151" s="58" t="s">
        <v>91</v>
      </c>
      <c r="D151" s="7">
        <v>2</v>
      </c>
      <c r="E151" s="45">
        <v>1297.78</v>
      </c>
      <c r="F151" s="45">
        <f t="shared" si="5"/>
        <v>2595.56</v>
      </c>
    </row>
    <row r="152" spans="1:6" ht="18" customHeight="1" x14ac:dyDescent="0.25">
      <c r="A152" s="58">
        <v>146</v>
      </c>
      <c r="B152" s="3" t="s">
        <v>172</v>
      </c>
      <c r="C152" s="58" t="s">
        <v>91</v>
      </c>
      <c r="D152" s="7">
        <v>5</v>
      </c>
      <c r="E152" s="45">
        <v>124.81</v>
      </c>
      <c r="F152" s="45">
        <f t="shared" si="5"/>
        <v>624.04999999999995</v>
      </c>
    </row>
    <row r="153" spans="1:6" ht="18" customHeight="1" x14ac:dyDescent="0.25">
      <c r="A153" s="58">
        <v>147</v>
      </c>
      <c r="B153" s="3" t="s">
        <v>173</v>
      </c>
      <c r="C153" s="58" t="s">
        <v>91</v>
      </c>
      <c r="D153" s="7">
        <v>1</v>
      </c>
      <c r="E153" s="45">
        <v>485.16</v>
      </c>
      <c r="F153" s="45">
        <f t="shared" si="5"/>
        <v>485.16</v>
      </c>
    </row>
    <row r="154" spans="1:6" ht="18" customHeight="1" x14ac:dyDescent="0.25">
      <c r="A154" s="58">
        <v>148</v>
      </c>
      <c r="B154" s="3" t="s">
        <v>174</v>
      </c>
      <c r="C154" s="58" t="s">
        <v>91</v>
      </c>
      <c r="D154" s="7">
        <v>1</v>
      </c>
      <c r="E154" s="45">
        <v>1337.28</v>
      </c>
      <c r="F154" s="45">
        <f t="shared" si="5"/>
        <v>1337.28</v>
      </c>
    </row>
    <row r="155" spans="1:6" ht="24.6" customHeight="1" x14ac:dyDescent="0.25">
      <c r="A155" s="58">
        <v>149</v>
      </c>
      <c r="B155" s="3" t="s">
        <v>175</v>
      </c>
      <c r="C155" s="58" t="s">
        <v>91</v>
      </c>
      <c r="D155" s="29">
        <v>0.1</v>
      </c>
      <c r="E155" s="45">
        <v>9713.14</v>
      </c>
      <c r="F155" s="45">
        <f t="shared" si="5"/>
        <v>971.31399999999996</v>
      </c>
    </row>
    <row r="156" spans="1:6" ht="18" customHeight="1" x14ac:dyDescent="0.25">
      <c r="A156" s="58">
        <v>150</v>
      </c>
      <c r="B156" s="3" t="s">
        <v>176</v>
      </c>
      <c r="C156" s="58" t="s">
        <v>91</v>
      </c>
      <c r="D156" s="7">
        <v>3</v>
      </c>
      <c r="E156" s="45">
        <v>978.32</v>
      </c>
      <c r="F156" s="45">
        <f t="shared" si="5"/>
        <v>2934.96</v>
      </c>
    </row>
    <row r="157" spans="1:6" ht="27" customHeight="1" x14ac:dyDescent="0.25">
      <c r="A157" s="58">
        <v>151</v>
      </c>
      <c r="B157" s="3" t="s">
        <v>177</v>
      </c>
      <c r="C157" s="58" t="s">
        <v>91</v>
      </c>
      <c r="D157" s="29">
        <v>1</v>
      </c>
      <c r="E157" s="45">
        <v>5741.82</v>
      </c>
      <c r="F157" s="45">
        <f t="shared" si="5"/>
        <v>5741.82</v>
      </c>
    </row>
    <row r="158" spans="1:6" ht="14.45" customHeight="1" x14ac:dyDescent="0.25">
      <c r="A158" s="58"/>
      <c r="B158" s="514" t="s">
        <v>288</v>
      </c>
      <c r="C158" s="515"/>
      <c r="D158" s="515"/>
      <c r="E158" s="516"/>
      <c r="F158" s="12">
        <f>SUM(F140:F157)</f>
        <v>35547.193999999996</v>
      </c>
    </row>
    <row r="159" spans="1:6" ht="15.75" x14ac:dyDescent="0.25">
      <c r="A159" s="47"/>
      <c r="B159" s="46" t="s">
        <v>116</v>
      </c>
      <c r="C159" s="47"/>
      <c r="D159" s="47"/>
      <c r="E159" s="47"/>
      <c r="F159" s="47"/>
    </row>
    <row r="160" spans="1:6" x14ac:dyDescent="0.25">
      <c r="A160" s="58">
        <v>151</v>
      </c>
      <c r="B160" s="6" t="s">
        <v>21</v>
      </c>
      <c r="C160" s="58" t="s">
        <v>91</v>
      </c>
      <c r="D160" s="7">
        <v>15</v>
      </c>
      <c r="E160" s="8">
        <v>16.84</v>
      </c>
      <c r="F160" s="10">
        <f>D160*E160</f>
        <v>252.6</v>
      </c>
    </row>
    <row r="161" spans="1:6" x14ac:dyDescent="0.25">
      <c r="A161" s="58">
        <v>152</v>
      </c>
      <c r="B161" s="3" t="s">
        <v>95</v>
      </c>
      <c r="C161" s="58" t="s">
        <v>91</v>
      </c>
      <c r="D161" s="7">
        <v>10</v>
      </c>
      <c r="E161" s="8">
        <v>5.71</v>
      </c>
      <c r="F161" s="10">
        <f t="shared" ref="F161:F225" si="6">D161*E161</f>
        <v>57.1</v>
      </c>
    </row>
    <row r="162" spans="1:6" x14ac:dyDescent="0.25">
      <c r="A162" s="58">
        <v>153</v>
      </c>
      <c r="B162" s="3" t="s">
        <v>96</v>
      </c>
      <c r="C162" s="58" t="s">
        <v>91</v>
      </c>
      <c r="D162" s="7">
        <v>10</v>
      </c>
      <c r="E162" s="8">
        <v>10.199999999999999</v>
      </c>
      <c r="F162" s="10">
        <f t="shared" si="6"/>
        <v>102</v>
      </c>
    </row>
    <row r="163" spans="1:6" x14ac:dyDescent="0.25">
      <c r="A163" s="58">
        <v>154</v>
      </c>
      <c r="B163" s="3" t="s">
        <v>22</v>
      </c>
      <c r="C163" s="58" t="s">
        <v>91</v>
      </c>
      <c r="D163" s="7">
        <v>20</v>
      </c>
      <c r="E163" s="8">
        <v>0.09</v>
      </c>
      <c r="F163" s="10">
        <f t="shared" si="6"/>
        <v>1.7999999999999998</v>
      </c>
    </row>
    <row r="164" spans="1:6" x14ac:dyDescent="0.25">
      <c r="A164" s="58">
        <v>155</v>
      </c>
      <c r="B164" s="3" t="s">
        <v>23</v>
      </c>
      <c r="C164" s="58" t="s">
        <v>91</v>
      </c>
      <c r="D164" s="7">
        <v>30</v>
      </c>
      <c r="E164" s="8">
        <v>0.38</v>
      </c>
      <c r="F164" s="10">
        <f t="shared" si="6"/>
        <v>11.4</v>
      </c>
    </row>
    <row r="165" spans="1:6" ht="24" x14ac:dyDescent="0.25">
      <c r="A165" s="58">
        <v>156</v>
      </c>
      <c r="B165" s="6" t="s">
        <v>24</v>
      </c>
      <c r="C165" s="58" t="s">
        <v>91</v>
      </c>
      <c r="D165" s="7">
        <v>10</v>
      </c>
      <c r="E165" s="8">
        <v>9.5</v>
      </c>
      <c r="F165" s="10">
        <f t="shared" si="6"/>
        <v>95</v>
      </c>
    </row>
    <row r="166" spans="1:6" ht="25.5" x14ac:dyDescent="0.25">
      <c r="A166" s="58">
        <v>157</v>
      </c>
      <c r="B166" s="3" t="s">
        <v>25</v>
      </c>
      <c r="C166" s="58" t="s">
        <v>91</v>
      </c>
      <c r="D166" s="7">
        <v>20</v>
      </c>
      <c r="E166" s="8">
        <v>14.44</v>
      </c>
      <c r="F166" s="10">
        <f t="shared" si="6"/>
        <v>288.8</v>
      </c>
    </row>
    <row r="167" spans="1:6" x14ac:dyDescent="0.25">
      <c r="A167" s="58">
        <v>158</v>
      </c>
      <c r="B167" s="3" t="s">
        <v>26</v>
      </c>
      <c r="C167" s="58" t="s">
        <v>91</v>
      </c>
      <c r="D167" s="7">
        <v>5</v>
      </c>
      <c r="E167" s="8">
        <v>20.76</v>
      </c>
      <c r="F167" s="10">
        <f t="shared" si="6"/>
        <v>103.80000000000001</v>
      </c>
    </row>
    <row r="168" spans="1:6" x14ac:dyDescent="0.25">
      <c r="A168" s="58">
        <v>164</v>
      </c>
      <c r="B168" s="3" t="s">
        <v>97</v>
      </c>
      <c r="C168" s="58" t="s">
        <v>91</v>
      </c>
      <c r="D168" s="7">
        <v>10</v>
      </c>
      <c r="E168" s="8">
        <v>18.03</v>
      </c>
      <c r="F168" s="10">
        <f t="shared" si="6"/>
        <v>180.3</v>
      </c>
    </row>
    <row r="169" spans="1:6" x14ac:dyDescent="0.25">
      <c r="A169" s="58">
        <v>165</v>
      </c>
      <c r="B169" s="3" t="s">
        <v>98</v>
      </c>
      <c r="C169" s="58" t="s">
        <v>91</v>
      </c>
      <c r="D169" s="7">
        <v>10</v>
      </c>
      <c r="E169" s="8">
        <v>18.03</v>
      </c>
      <c r="F169" s="10">
        <f t="shared" si="6"/>
        <v>180.3</v>
      </c>
    </row>
    <row r="170" spans="1:6" x14ac:dyDescent="0.25">
      <c r="A170" s="58">
        <v>166</v>
      </c>
      <c r="B170" s="3" t="s">
        <v>99</v>
      </c>
      <c r="C170" s="58" t="s">
        <v>91</v>
      </c>
      <c r="D170" s="7">
        <v>6</v>
      </c>
      <c r="E170" s="8">
        <v>25.75</v>
      </c>
      <c r="F170" s="10">
        <f t="shared" si="6"/>
        <v>154.5</v>
      </c>
    </row>
    <row r="171" spans="1:6" x14ac:dyDescent="0.25">
      <c r="A171" s="58">
        <v>167</v>
      </c>
      <c r="B171" s="3" t="s">
        <v>100</v>
      </c>
      <c r="C171" s="58" t="s">
        <v>91</v>
      </c>
      <c r="D171" s="7">
        <v>30</v>
      </c>
      <c r="E171" s="8">
        <v>86.86</v>
      </c>
      <c r="F171" s="10">
        <f t="shared" si="6"/>
        <v>2605.8000000000002</v>
      </c>
    </row>
    <row r="172" spans="1:6" x14ac:dyDescent="0.25">
      <c r="A172" s="58">
        <v>168</v>
      </c>
      <c r="B172" s="3" t="s">
        <v>308</v>
      </c>
      <c r="C172" s="58" t="s">
        <v>91</v>
      </c>
      <c r="D172" s="7">
        <v>10</v>
      </c>
      <c r="E172" s="8">
        <v>2.4</v>
      </c>
      <c r="F172" s="10">
        <f t="shared" si="6"/>
        <v>24</v>
      </c>
    </row>
    <row r="173" spans="1:6" x14ac:dyDescent="0.25">
      <c r="A173" s="58">
        <v>169</v>
      </c>
      <c r="B173" s="3" t="s">
        <v>27</v>
      </c>
      <c r="C173" s="58" t="s">
        <v>91</v>
      </c>
      <c r="D173" s="7">
        <v>6</v>
      </c>
      <c r="E173" s="8">
        <v>17.96</v>
      </c>
      <c r="F173" s="10">
        <f t="shared" si="6"/>
        <v>107.76</v>
      </c>
    </row>
    <row r="174" spans="1:6" ht="25.5" x14ac:dyDescent="0.25">
      <c r="A174" s="58">
        <v>170</v>
      </c>
      <c r="B174" s="3" t="s">
        <v>101</v>
      </c>
      <c r="C174" s="58" t="s">
        <v>91</v>
      </c>
      <c r="D174" s="7">
        <v>40</v>
      </c>
      <c r="E174" s="8">
        <v>48.88</v>
      </c>
      <c r="F174" s="10">
        <f t="shared" si="6"/>
        <v>1955.2</v>
      </c>
    </row>
    <row r="175" spans="1:6" ht="25.5" x14ac:dyDescent="0.25">
      <c r="A175" s="58">
        <v>171</v>
      </c>
      <c r="B175" s="3" t="s">
        <v>28</v>
      </c>
      <c r="C175" s="58" t="s">
        <v>91</v>
      </c>
      <c r="D175" s="7">
        <v>10</v>
      </c>
      <c r="E175" s="8">
        <v>36.950000000000003</v>
      </c>
      <c r="F175" s="10">
        <f t="shared" si="6"/>
        <v>369.5</v>
      </c>
    </row>
    <row r="176" spans="1:6" x14ac:dyDescent="0.25">
      <c r="A176" s="58">
        <v>172</v>
      </c>
      <c r="B176" s="3" t="s">
        <v>29</v>
      </c>
      <c r="C176" s="58" t="s">
        <v>91</v>
      </c>
      <c r="D176" s="7">
        <v>5</v>
      </c>
      <c r="E176" s="8">
        <v>7.47</v>
      </c>
      <c r="F176" s="10">
        <f t="shared" si="6"/>
        <v>37.35</v>
      </c>
    </row>
    <row r="177" spans="1:6" x14ac:dyDescent="0.25">
      <c r="A177" s="58">
        <v>173</v>
      </c>
      <c r="B177" s="3" t="s">
        <v>309</v>
      </c>
      <c r="C177" s="58" t="s">
        <v>91</v>
      </c>
      <c r="D177" s="7">
        <v>10</v>
      </c>
      <c r="E177" s="8">
        <v>126</v>
      </c>
      <c r="F177" s="10">
        <f t="shared" si="6"/>
        <v>1260</v>
      </c>
    </row>
    <row r="178" spans="1:6" x14ac:dyDescent="0.25">
      <c r="A178" s="58">
        <v>174</v>
      </c>
      <c r="B178" s="3" t="s">
        <v>303</v>
      </c>
      <c r="C178" s="58" t="s">
        <v>297</v>
      </c>
      <c r="D178" s="7">
        <v>200</v>
      </c>
      <c r="E178" s="8">
        <v>11.28</v>
      </c>
      <c r="F178" s="10">
        <f t="shared" si="6"/>
        <v>2256</v>
      </c>
    </row>
    <row r="179" spans="1:6" x14ac:dyDescent="0.25">
      <c r="A179" s="58">
        <v>175</v>
      </c>
      <c r="B179" s="3" t="s">
        <v>304</v>
      </c>
      <c r="C179" s="58" t="s">
        <v>297</v>
      </c>
      <c r="D179" s="7">
        <v>200</v>
      </c>
      <c r="E179" s="8">
        <v>11.28</v>
      </c>
      <c r="F179" s="10">
        <f t="shared" si="6"/>
        <v>2256</v>
      </c>
    </row>
    <row r="180" spans="1:6" ht="25.5" x14ac:dyDescent="0.25">
      <c r="A180" s="58">
        <v>176</v>
      </c>
      <c r="B180" s="3" t="s">
        <v>30</v>
      </c>
      <c r="C180" s="58" t="s">
        <v>91</v>
      </c>
      <c r="D180" s="7">
        <v>40</v>
      </c>
      <c r="E180" s="8">
        <v>5.48</v>
      </c>
      <c r="F180" s="10">
        <f t="shared" si="6"/>
        <v>219.20000000000002</v>
      </c>
    </row>
    <row r="181" spans="1:6" x14ac:dyDescent="0.25">
      <c r="A181" s="58">
        <v>177</v>
      </c>
      <c r="B181" s="3" t="s">
        <v>135</v>
      </c>
      <c r="C181" s="58" t="s">
        <v>92</v>
      </c>
      <c r="D181" s="7">
        <v>6</v>
      </c>
      <c r="E181" s="8">
        <v>38.32</v>
      </c>
      <c r="F181" s="10">
        <f t="shared" si="6"/>
        <v>229.92000000000002</v>
      </c>
    </row>
    <row r="182" spans="1:6" x14ac:dyDescent="0.25">
      <c r="A182" s="58">
        <v>178</v>
      </c>
      <c r="B182" s="3" t="s">
        <v>134</v>
      </c>
      <c r="C182" s="58" t="s">
        <v>92</v>
      </c>
      <c r="D182" s="7">
        <v>6</v>
      </c>
      <c r="E182" s="8">
        <v>16.100000000000001</v>
      </c>
      <c r="F182" s="10">
        <f t="shared" si="6"/>
        <v>96.600000000000009</v>
      </c>
    </row>
    <row r="183" spans="1:6" x14ac:dyDescent="0.25">
      <c r="A183" s="58">
        <v>179</v>
      </c>
      <c r="B183" s="3" t="s">
        <v>138</v>
      </c>
      <c r="C183" s="58" t="s">
        <v>92</v>
      </c>
      <c r="D183" s="7">
        <v>6</v>
      </c>
      <c r="E183" s="8">
        <v>11.32</v>
      </c>
      <c r="F183" s="10">
        <f t="shared" si="6"/>
        <v>67.92</v>
      </c>
    </row>
    <row r="184" spans="1:6" x14ac:dyDescent="0.25">
      <c r="A184" s="58">
        <v>180</v>
      </c>
      <c r="B184" s="3" t="s">
        <v>137</v>
      </c>
      <c r="C184" s="58" t="s">
        <v>92</v>
      </c>
      <c r="D184" s="7">
        <v>6</v>
      </c>
      <c r="E184" s="8">
        <v>9.23</v>
      </c>
      <c r="F184" s="10">
        <f t="shared" si="6"/>
        <v>55.38</v>
      </c>
    </row>
    <row r="185" spans="1:6" x14ac:dyDescent="0.25">
      <c r="A185" s="58">
        <v>181</v>
      </c>
      <c r="B185" s="3" t="s">
        <v>136</v>
      </c>
      <c r="C185" s="58" t="s">
        <v>92</v>
      </c>
      <c r="D185" s="7">
        <v>6</v>
      </c>
      <c r="E185" s="8">
        <v>6.11</v>
      </c>
      <c r="F185" s="10">
        <f t="shared" si="6"/>
        <v>36.660000000000004</v>
      </c>
    </row>
    <row r="186" spans="1:6" x14ac:dyDescent="0.25">
      <c r="A186" s="58">
        <v>182</v>
      </c>
      <c r="B186" s="3" t="s">
        <v>249</v>
      </c>
      <c r="C186" s="58" t="s">
        <v>91</v>
      </c>
      <c r="D186" s="7">
        <v>1</v>
      </c>
      <c r="E186" s="8">
        <v>49.21</v>
      </c>
      <c r="F186" s="10">
        <f t="shared" si="6"/>
        <v>49.21</v>
      </c>
    </row>
    <row r="187" spans="1:6" x14ac:dyDescent="0.25">
      <c r="A187" s="58">
        <v>183</v>
      </c>
      <c r="B187" s="3" t="s">
        <v>250</v>
      </c>
      <c r="C187" s="58" t="s">
        <v>91</v>
      </c>
      <c r="D187" s="7">
        <v>1</v>
      </c>
      <c r="E187" s="8">
        <v>18.829999999999998</v>
      </c>
      <c r="F187" s="10">
        <f t="shared" si="6"/>
        <v>18.829999999999998</v>
      </c>
    </row>
    <row r="188" spans="1:6" x14ac:dyDescent="0.25">
      <c r="A188" s="58">
        <v>184</v>
      </c>
      <c r="B188" s="3" t="s">
        <v>251</v>
      </c>
      <c r="C188" s="58" t="s">
        <v>91</v>
      </c>
      <c r="D188" s="7">
        <v>2</v>
      </c>
      <c r="E188" s="8">
        <v>11.36</v>
      </c>
      <c r="F188" s="10">
        <f t="shared" si="6"/>
        <v>22.72</v>
      </c>
    </row>
    <row r="189" spans="1:6" x14ac:dyDescent="0.25">
      <c r="A189" s="58">
        <v>185</v>
      </c>
      <c r="B189" s="3" t="s">
        <v>252</v>
      </c>
      <c r="C189" s="58" t="s">
        <v>91</v>
      </c>
      <c r="D189" s="7">
        <v>3</v>
      </c>
      <c r="E189" s="8">
        <v>5.31</v>
      </c>
      <c r="F189" s="10">
        <f t="shared" si="6"/>
        <v>15.93</v>
      </c>
    </row>
    <row r="190" spans="1:6" x14ac:dyDescent="0.25">
      <c r="A190" s="58">
        <v>186</v>
      </c>
      <c r="B190" s="3" t="s">
        <v>253</v>
      </c>
      <c r="C190" s="58" t="s">
        <v>91</v>
      </c>
      <c r="D190" s="7">
        <v>4</v>
      </c>
      <c r="E190" s="8">
        <v>3.36</v>
      </c>
      <c r="F190" s="10">
        <f t="shared" si="6"/>
        <v>13.44</v>
      </c>
    </row>
    <row r="191" spans="1:6" x14ac:dyDescent="0.25">
      <c r="A191" s="58">
        <v>187</v>
      </c>
      <c r="B191" s="3" t="s">
        <v>139</v>
      </c>
      <c r="C191" s="58" t="s">
        <v>92</v>
      </c>
      <c r="D191" s="7">
        <v>6</v>
      </c>
      <c r="E191" s="8">
        <v>14.67</v>
      </c>
      <c r="F191" s="10">
        <f t="shared" si="6"/>
        <v>88.02</v>
      </c>
    </row>
    <row r="192" spans="1:6" x14ac:dyDescent="0.25">
      <c r="A192" s="58">
        <v>188</v>
      </c>
      <c r="B192" s="3" t="s">
        <v>140</v>
      </c>
      <c r="C192" s="58" t="s">
        <v>92</v>
      </c>
      <c r="D192" s="7">
        <v>6</v>
      </c>
      <c r="E192" s="8">
        <v>12.19</v>
      </c>
      <c r="F192" s="10">
        <f t="shared" si="6"/>
        <v>73.14</v>
      </c>
    </row>
    <row r="193" spans="1:6" x14ac:dyDescent="0.25">
      <c r="A193" s="58">
        <v>189</v>
      </c>
      <c r="B193" s="3" t="s">
        <v>139</v>
      </c>
      <c r="C193" s="58" t="s">
        <v>92</v>
      </c>
      <c r="D193" s="7">
        <v>6</v>
      </c>
      <c r="E193" s="8">
        <v>3.31</v>
      </c>
      <c r="F193" s="10">
        <f t="shared" si="6"/>
        <v>19.86</v>
      </c>
    </row>
    <row r="194" spans="1:6" x14ac:dyDescent="0.25">
      <c r="A194" s="58">
        <v>190</v>
      </c>
      <c r="B194" s="3" t="s">
        <v>141</v>
      </c>
      <c r="C194" s="58" t="s">
        <v>92</v>
      </c>
      <c r="D194" s="7">
        <v>6</v>
      </c>
      <c r="E194" s="8">
        <v>8.75</v>
      </c>
      <c r="F194" s="10">
        <f t="shared" si="6"/>
        <v>52.5</v>
      </c>
    </row>
    <row r="195" spans="1:6" x14ac:dyDescent="0.25">
      <c r="A195" s="58">
        <v>191</v>
      </c>
      <c r="B195" s="3" t="s">
        <v>149</v>
      </c>
      <c r="C195" s="58" t="s">
        <v>92</v>
      </c>
      <c r="D195" s="7">
        <v>6</v>
      </c>
      <c r="E195" s="8">
        <v>31.9</v>
      </c>
      <c r="F195" s="10">
        <f t="shared" si="6"/>
        <v>191.39999999999998</v>
      </c>
    </row>
    <row r="196" spans="1:6" x14ac:dyDescent="0.25">
      <c r="A196" s="58">
        <v>192</v>
      </c>
      <c r="B196" s="3" t="s">
        <v>148</v>
      </c>
      <c r="C196" s="58" t="s">
        <v>92</v>
      </c>
      <c r="D196" s="7">
        <v>6</v>
      </c>
      <c r="E196" s="8">
        <v>23.7</v>
      </c>
      <c r="F196" s="10">
        <f t="shared" si="6"/>
        <v>142.19999999999999</v>
      </c>
    </row>
    <row r="197" spans="1:6" x14ac:dyDescent="0.25">
      <c r="A197" s="58">
        <v>193</v>
      </c>
      <c r="B197" s="3" t="s">
        <v>147</v>
      </c>
      <c r="C197" s="58" t="s">
        <v>92</v>
      </c>
      <c r="D197" s="7">
        <v>6</v>
      </c>
      <c r="E197" s="8">
        <v>15.46</v>
      </c>
      <c r="F197" s="10">
        <f t="shared" si="6"/>
        <v>92.76</v>
      </c>
    </row>
    <row r="198" spans="1:6" x14ac:dyDescent="0.25">
      <c r="A198" s="58">
        <v>194</v>
      </c>
      <c r="B198" s="3" t="s">
        <v>146</v>
      </c>
      <c r="C198" s="58" t="s">
        <v>92</v>
      </c>
      <c r="D198" s="7">
        <v>6</v>
      </c>
      <c r="E198" s="8">
        <v>8.32</v>
      </c>
      <c r="F198" s="10">
        <f t="shared" si="6"/>
        <v>49.92</v>
      </c>
    </row>
    <row r="199" spans="1:6" x14ac:dyDescent="0.25">
      <c r="A199" s="58">
        <v>195</v>
      </c>
      <c r="B199" s="3" t="s">
        <v>145</v>
      </c>
      <c r="C199" s="58" t="s">
        <v>92</v>
      </c>
      <c r="D199" s="7">
        <v>6</v>
      </c>
      <c r="E199" s="8">
        <v>7.09</v>
      </c>
      <c r="F199" s="10">
        <f t="shared" si="6"/>
        <v>42.54</v>
      </c>
    </row>
    <row r="200" spans="1:6" x14ac:dyDescent="0.25">
      <c r="A200" s="58">
        <v>196</v>
      </c>
      <c r="B200" s="3" t="s">
        <v>144</v>
      </c>
      <c r="C200" s="58" t="s">
        <v>92</v>
      </c>
      <c r="D200" s="7">
        <v>6</v>
      </c>
      <c r="E200" s="8">
        <v>5.2</v>
      </c>
      <c r="F200" s="10">
        <f t="shared" si="6"/>
        <v>31.200000000000003</v>
      </c>
    </row>
    <row r="201" spans="1:6" x14ac:dyDescent="0.25">
      <c r="A201" s="58">
        <v>197</v>
      </c>
      <c r="B201" s="3" t="s">
        <v>143</v>
      </c>
      <c r="C201" s="58" t="s">
        <v>92</v>
      </c>
      <c r="D201" s="7">
        <v>6</v>
      </c>
      <c r="E201" s="8">
        <v>2.2799999999999998</v>
      </c>
      <c r="F201" s="10">
        <f t="shared" si="6"/>
        <v>13.68</v>
      </c>
    </row>
    <row r="202" spans="1:6" x14ac:dyDescent="0.25">
      <c r="A202" s="58">
        <v>198</v>
      </c>
      <c r="B202" s="3" t="s">
        <v>142</v>
      </c>
      <c r="C202" s="58" t="s">
        <v>92</v>
      </c>
      <c r="D202" s="7">
        <v>6</v>
      </c>
      <c r="E202" s="8">
        <v>1.68</v>
      </c>
      <c r="F202" s="10">
        <f t="shared" si="6"/>
        <v>10.08</v>
      </c>
    </row>
    <row r="203" spans="1:6" x14ac:dyDescent="0.25">
      <c r="A203" s="58">
        <v>199</v>
      </c>
      <c r="B203" s="3" t="s">
        <v>254</v>
      </c>
      <c r="C203" s="58" t="s">
        <v>91</v>
      </c>
      <c r="D203" s="7">
        <v>1</v>
      </c>
      <c r="E203" s="8">
        <v>40.67</v>
      </c>
      <c r="F203" s="10">
        <f t="shared" si="6"/>
        <v>40.67</v>
      </c>
    </row>
    <row r="204" spans="1:6" x14ac:dyDescent="0.25">
      <c r="A204" s="58">
        <v>200</v>
      </c>
      <c r="B204" s="3" t="s">
        <v>255</v>
      </c>
      <c r="C204" s="58" t="s">
        <v>91</v>
      </c>
      <c r="D204" s="7">
        <v>1</v>
      </c>
      <c r="E204" s="8">
        <v>35.85</v>
      </c>
      <c r="F204" s="10">
        <f t="shared" si="6"/>
        <v>35.85</v>
      </c>
    </row>
    <row r="205" spans="1:6" x14ac:dyDescent="0.25">
      <c r="A205" s="58">
        <v>201</v>
      </c>
      <c r="B205" s="3" t="s">
        <v>256</v>
      </c>
      <c r="C205" s="58" t="s">
        <v>91</v>
      </c>
      <c r="D205" s="7">
        <v>1</v>
      </c>
      <c r="E205" s="8">
        <v>14.72</v>
      </c>
      <c r="F205" s="10">
        <f t="shared" si="6"/>
        <v>14.72</v>
      </c>
    </row>
    <row r="206" spans="1:6" x14ac:dyDescent="0.25">
      <c r="A206" s="58">
        <v>202</v>
      </c>
      <c r="B206" s="3" t="s">
        <v>257</v>
      </c>
      <c r="C206" s="58" t="s">
        <v>91</v>
      </c>
      <c r="D206" s="7">
        <v>1</v>
      </c>
      <c r="E206" s="8">
        <v>4.26</v>
      </c>
      <c r="F206" s="10">
        <f t="shared" si="6"/>
        <v>4.26</v>
      </c>
    </row>
    <row r="207" spans="1:6" x14ac:dyDescent="0.25">
      <c r="A207" s="58">
        <v>203</v>
      </c>
      <c r="B207" s="3" t="s">
        <v>258</v>
      </c>
      <c r="C207" s="58" t="s">
        <v>91</v>
      </c>
      <c r="D207" s="7">
        <v>2</v>
      </c>
      <c r="E207" s="8">
        <v>3.32</v>
      </c>
      <c r="F207" s="10">
        <f t="shared" si="6"/>
        <v>6.64</v>
      </c>
    </row>
    <row r="208" spans="1:6" x14ac:dyDescent="0.25">
      <c r="A208" s="58">
        <v>204</v>
      </c>
      <c r="B208" s="3" t="s">
        <v>259</v>
      </c>
      <c r="C208" s="58" t="s">
        <v>91</v>
      </c>
      <c r="D208" s="7">
        <v>2</v>
      </c>
      <c r="E208" s="8">
        <v>2.25</v>
      </c>
      <c r="F208" s="10">
        <f t="shared" si="6"/>
        <v>4.5</v>
      </c>
    </row>
    <row r="209" spans="1:6" x14ac:dyDescent="0.25">
      <c r="A209" s="58">
        <v>205</v>
      </c>
      <c r="B209" s="3" t="s">
        <v>260</v>
      </c>
      <c r="C209" s="58" t="s">
        <v>91</v>
      </c>
      <c r="D209" s="7">
        <v>6</v>
      </c>
      <c r="E209" s="8">
        <v>0.93</v>
      </c>
      <c r="F209" s="10">
        <f t="shared" si="6"/>
        <v>5.58</v>
      </c>
    </row>
    <row r="210" spans="1:6" x14ac:dyDescent="0.25">
      <c r="A210" s="58">
        <v>206</v>
      </c>
      <c r="B210" s="3" t="s">
        <v>261</v>
      </c>
      <c r="C210" s="58" t="s">
        <v>91</v>
      </c>
      <c r="D210" s="7">
        <v>2</v>
      </c>
      <c r="E210" s="8">
        <v>0.49</v>
      </c>
      <c r="F210" s="10">
        <f t="shared" si="6"/>
        <v>0.98</v>
      </c>
    </row>
    <row r="211" spans="1:6" x14ac:dyDescent="0.25">
      <c r="A211" s="58">
        <v>207</v>
      </c>
      <c r="B211" s="3" t="s">
        <v>102</v>
      </c>
      <c r="C211" s="58" t="s">
        <v>91</v>
      </c>
      <c r="D211" s="7">
        <v>6</v>
      </c>
      <c r="E211" s="8">
        <v>11.24</v>
      </c>
      <c r="F211" s="10">
        <f t="shared" si="6"/>
        <v>67.44</v>
      </c>
    </row>
    <row r="212" spans="1:6" x14ac:dyDescent="0.25">
      <c r="A212" s="58">
        <v>208</v>
      </c>
      <c r="B212" s="3" t="s">
        <v>31</v>
      </c>
      <c r="C212" s="58" t="s">
        <v>91</v>
      </c>
      <c r="D212" s="7">
        <v>6</v>
      </c>
      <c r="E212" s="8">
        <v>83</v>
      </c>
      <c r="F212" s="10">
        <f t="shared" si="6"/>
        <v>498</v>
      </c>
    </row>
    <row r="213" spans="1:6" x14ac:dyDescent="0.25">
      <c r="A213" s="58">
        <v>209</v>
      </c>
      <c r="B213" s="3" t="s">
        <v>103</v>
      </c>
      <c r="C213" s="58" t="s">
        <v>91</v>
      </c>
      <c r="D213" s="7">
        <v>6</v>
      </c>
      <c r="E213" s="8">
        <v>76.989999999999995</v>
      </c>
      <c r="F213" s="10">
        <f t="shared" si="6"/>
        <v>461.93999999999994</v>
      </c>
    </row>
    <row r="214" spans="1:6" x14ac:dyDescent="0.25">
      <c r="A214" s="58">
        <v>210</v>
      </c>
      <c r="B214" s="3" t="s">
        <v>32</v>
      </c>
      <c r="C214" s="58" t="s">
        <v>91</v>
      </c>
      <c r="D214" s="7">
        <v>2</v>
      </c>
      <c r="E214" s="8">
        <v>56.74</v>
      </c>
      <c r="F214" s="10">
        <f t="shared" si="6"/>
        <v>113.48</v>
      </c>
    </row>
    <row r="215" spans="1:6" x14ac:dyDescent="0.25">
      <c r="A215" s="58">
        <v>211</v>
      </c>
      <c r="B215" s="3" t="s">
        <v>33</v>
      </c>
      <c r="C215" s="58" t="s">
        <v>91</v>
      </c>
      <c r="D215" s="7">
        <v>4</v>
      </c>
      <c r="E215" s="8">
        <v>59.99</v>
      </c>
      <c r="F215" s="10">
        <f t="shared" si="6"/>
        <v>239.96</v>
      </c>
    </row>
    <row r="216" spans="1:6" x14ac:dyDescent="0.25">
      <c r="A216" s="58">
        <v>212</v>
      </c>
      <c r="B216" s="3" t="s">
        <v>34</v>
      </c>
      <c r="C216" s="58" t="s">
        <v>91</v>
      </c>
      <c r="D216" s="7">
        <v>8</v>
      </c>
      <c r="E216" s="8">
        <v>53.08</v>
      </c>
      <c r="F216" s="10">
        <f t="shared" si="6"/>
        <v>424.64</v>
      </c>
    </row>
    <row r="217" spans="1:6" ht="25.5" x14ac:dyDescent="0.25">
      <c r="A217" s="58">
        <v>213</v>
      </c>
      <c r="B217" s="3" t="s">
        <v>35</v>
      </c>
      <c r="C217" s="58" t="s">
        <v>91</v>
      </c>
      <c r="D217" s="7">
        <v>8</v>
      </c>
      <c r="E217" s="8">
        <v>73.19</v>
      </c>
      <c r="F217" s="10">
        <f t="shared" si="6"/>
        <v>585.52</v>
      </c>
    </row>
    <row r="218" spans="1:6" x14ac:dyDescent="0.25">
      <c r="A218" s="58">
        <v>214</v>
      </c>
      <c r="B218" s="3" t="s">
        <v>36</v>
      </c>
      <c r="C218" s="58" t="s">
        <v>91</v>
      </c>
      <c r="D218" s="7">
        <v>30</v>
      </c>
      <c r="E218" s="8">
        <v>3.19</v>
      </c>
      <c r="F218" s="10">
        <f t="shared" si="6"/>
        <v>95.7</v>
      </c>
    </row>
    <row r="219" spans="1:6" x14ac:dyDescent="0.25">
      <c r="A219" s="58">
        <v>215</v>
      </c>
      <c r="B219" s="3" t="s">
        <v>104</v>
      </c>
      <c r="C219" s="58" t="s">
        <v>91</v>
      </c>
      <c r="D219" s="7">
        <v>2</v>
      </c>
      <c r="E219" s="8">
        <v>87.59</v>
      </c>
      <c r="F219" s="10">
        <f t="shared" si="6"/>
        <v>175.18</v>
      </c>
    </row>
    <row r="220" spans="1:6" x14ac:dyDescent="0.25">
      <c r="A220" s="58">
        <v>216</v>
      </c>
      <c r="B220" s="3" t="s">
        <v>105</v>
      </c>
      <c r="C220" s="58" t="s">
        <v>91</v>
      </c>
      <c r="D220" s="7">
        <v>3</v>
      </c>
      <c r="E220" s="8">
        <v>130.38999999999999</v>
      </c>
      <c r="F220" s="10">
        <f t="shared" si="6"/>
        <v>391.16999999999996</v>
      </c>
    </row>
    <row r="221" spans="1:6" x14ac:dyDescent="0.25">
      <c r="A221" s="58">
        <v>217</v>
      </c>
      <c r="B221" s="3" t="s">
        <v>37</v>
      </c>
      <c r="C221" s="58" t="s">
        <v>91</v>
      </c>
      <c r="D221" s="7">
        <v>10</v>
      </c>
      <c r="E221" s="8">
        <v>24.3</v>
      </c>
      <c r="F221" s="10">
        <f t="shared" si="6"/>
        <v>243</v>
      </c>
    </row>
    <row r="222" spans="1:6" x14ac:dyDescent="0.25">
      <c r="A222" s="58">
        <v>218</v>
      </c>
      <c r="B222" s="3" t="s">
        <v>38</v>
      </c>
      <c r="C222" s="58" t="s">
        <v>91</v>
      </c>
      <c r="D222" s="7">
        <v>2</v>
      </c>
      <c r="E222" s="8">
        <v>184.67</v>
      </c>
      <c r="F222" s="10">
        <f t="shared" si="6"/>
        <v>369.34</v>
      </c>
    </row>
    <row r="223" spans="1:6" x14ac:dyDescent="0.25">
      <c r="A223" s="58">
        <v>219</v>
      </c>
      <c r="B223" s="51" t="s">
        <v>307</v>
      </c>
      <c r="C223" s="58"/>
      <c r="D223" s="7"/>
      <c r="E223" s="8"/>
      <c r="F223" s="10"/>
    </row>
    <row r="224" spans="1:6" x14ac:dyDescent="0.25">
      <c r="A224" s="58">
        <v>220</v>
      </c>
      <c r="B224" s="51" t="s">
        <v>310</v>
      </c>
      <c r="C224" s="58"/>
      <c r="D224" s="7"/>
      <c r="E224" s="8"/>
      <c r="F224" s="10"/>
    </row>
    <row r="225" spans="1:6" x14ac:dyDescent="0.25">
      <c r="A225" s="58">
        <v>219</v>
      </c>
      <c r="B225" s="3" t="s">
        <v>39</v>
      </c>
      <c r="C225" s="58" t="s">
        <v>91</v>
      </c>
      <c r="D225" s="7">
        <v>6</v>
      </c>
      <c r="E225" s="8">
        <v>50</v>
      </c>
      <c r="F225" s="10">
        <f t="shared" si="6"/>
        <v>300</v>
      </c>
    </row>
    <row r="226" spans="1:6" ht="14.45" customHeight="1" x14ac:dyDescent="0.25">
      <c r="A226" s="514" t="s">
        <v>289</v>
      </c>
      <c r="B226" s="522"/>
      <c r="C226" s="522"/>
      <c r="D226" s="522"/>
      <c r="E226" s="523"/>
      <c r="F226" s="11">
        <f>SUM(F160:F225)</f>
        <v>18010.89</v>
      </c>
    </row>
    <row r="227" spans="1:6" ht="15.75" hidden="1" x14ac:dyDescent="0.25">
      <c r="A227" s="31"/>
    </row>
    <row r="228" spans="1:6" ht="15.75" hidden="1" x14ac:dyDescent="0.25">
      <c r="A228" s="31"/>
    </row>
    <row r="229" spans="1:6" hidden="1" x14ac:dyDescent="0.25"/>
    <row r="230" spans="1:6" hidden="1" x14ac:dyDescent="0.25">
      <c r="A230" s="32" t="s">
        <v>181</v>
      </c>
    </row>
    <row r="231" spans="1:6" ht="14.45" customHeight="1" x14ac:dyDescent="0.25">
      <c r="A231" s="524" t="s">
        <v>295</v>
      </c>
      <c r="B231" s="525"/>
      <c r="C231" s="525"/>
      <c r="D231" s="525"/>
      <c r="E231" s="525"/>
      <c r="F231" s="526"/>
    </row>
    <row r="232" spans="1:6" x14ac:dyDescent="0.25">
      <c r="A232" s="58">
        <v>220</v>
      </c>
      <c r="B232" s="30" t="s">
        <v>226</v>
      </c>
      <c r="C232" s="58" t="s">
        <v>91</v>
      </c>
      <c r="D232" s="7">
        <v>2</v>
      </c>
      <c r="E232" s="10">
        <v>690</v>
      </c>
      <c r="F232" s="10">
        <f t="shared" ref="F232:F265" si="7">D232*E232</f>
        <v>1380</v>
      </c>
    </row>
    <row r="233" spans="1:6" x14ac:dyDescent="0.25">
      <c r="A233" s="58">
        <v>221</v>
      </c>
      <c r="B233" s="30" t="s">
        <v>215</v>
      </c>
      <c r="C233" s="58" t="s">
        <v>91</v>
      </c>
      <c r="D233" s="7">
        <v>1</v>
      </c>
      <c r="E233" s="10">
        <v>790</v>
      </c>
      <c r="F233" s="10">
        <f t="shared" si="7"/>
        <v>790</v>
      </c>
    </row>
    <row r="234" spans="1:6" x14ac:dyDescent="0.25">
      <c r="A234" s="58">
        <v>222</v>
      </c>
      <c r="B234" s="30" t="s">
        <v>216</v>
      </c>
      <c r="C234" s="58" t="s">
        <v>91</v>
      </c>
      <c r="D234" s="7">
        <v>1</v>
      </c>
      <c r="E234" s="10">
        <v>590</v>
      </c>
      <c r="F234" s="10">
        <f t="shared" si="7"/>
        <v>590</v>
      </c>
    </row>
    <row r="235" spans="1:6" x14ac:dyDescent="0.25">
      <c r="A235" s="58">
        <v>223</v>
      </c>
      <c r="B235" s="30" t="s">
        <v>217</v>
      </c>
      <c r="C235" s="58" t="s">
        <v>91</v>
      </c>
      <c r="D235" s="7">
        <v>1</v>
      </c>
      <c r="E235" s="10">
        <v>230</v>
      </c>
      <c r="F235" s="10">
        <f t="shared" si="7"/>
        <v>230</v>
      </c>
    </row>
    <row r="236" spans="1:6" x14ac:dyDescent="0.25">
      <c r="A236" s="58">
        <v>224</v>
      </c>
      <c r="B236" s="30" t="s">
        <v>218</v>
      </c>
      <c r="C236" s="58" t="s">
        <v>91</v>
      </c>
      <c r="D236" s="7">
        <v>2</v>
      </c>
      <c r="E236" s="10">
        <v>230</v>
      </c>
      <c r="F236" s="10">
        <f t="shared" si="7"/>
        <v>460</v>
      </c>
    </row>
    <row r="237" spans="1:6" x14ac:dyDescent="0.25">
      <c r="A237" s="58">
        <v>225</v>
      </c>
      <c r="B237" s="30" t="s">
        <v>219</v>
      </c>
      <c r="C237" s="58" t="s">
        <v>91</v>
      </c>
      <c r="D237" s="7">
        <v>1</v>
      </c>
      <c r="E237" s="10">
        <v>428.57</v>
      </c>
      <c r="F237" s="10">
        <f t="shared" si="7"/>
        <v>428.57</v>
      </c>
    </row>
    <row r="238" spans="1:6" x14ac:dyDescent="0.25">
      <c r="A238" s="58">
        <v>226</v>
      </c>
      <c r="B238" s="30" t="s">
        <v>220</v>
      </c>
      <c r="C238" s="58" t="s">
        <v>91</v>
      </c>
      <c r="D238" s="7">
        <v>1</v>
      </c>
      <c r="E238" s="10">
        <v>775.71</v>
      </c>
      <c r="F238" s="10">
        <f t="shared" si="7"/>
        <v>775.71</v>
      </c>
    </row>
    <row r="239" spans="1:6" x14ac:dyDescent="0.25">
      <c r="A239" s="58">
        <v>227</v>
      </c>
      <c r="B239" s="30" t="s">
        <v>221</v>
      </c>
      <c r="C239" s="58" t="s">
        <v>91</v>
      </c>
      <c r="D239" s="7">
        <v>1</v>
      </c>
      <c r="E239" s="10">
        <v>1250.1400000000001</v>
      </c>
      <c r="F239" s="10">
        <f t="shared" si="7"/>
        <v>1250.1400000000001</v>
      </c>
    </row>
    <row r="240" spans="1:6" x14ac:dyDescent="0.25">
      <c r="A240" s="58">
        <v>228</v>
      </c>
      <c r="B240" s="30" t="s">
        <v>222</v>
      </c>
      <c r="C240" s="58" t="s">
        <v>91</v>
      </c>
      <c r="D240" s="7">
        <v>1</v>
      </c>
      <c r="E240" s="10">
        <v>1365</v>
      </c>
      <c r="F240" s="10">
        <f t="shared" si="7"/>
        <v>1365</v>
      </c>
    </row>
    <row r="241" spans="1:6" ht="15.6" customHeight="1" x14ac:dyDescent="0.25">
      <c r="A241" s="58">
        <v>229</v>
      </c>
      <c r="B241" s="30" t="s">
        <v>223</v>
      </c>
      <c r="C241" s="58" t="s">
        <v>91</v>
      </c>
      <c r="D241" s="7">
        <v>3</v>
      </c>
      <c r="E241" s="10">
        <v>300</v>
      </c>
      <c r="F241" s="10">
        <f t="shared" si="7"/>
        <v>900</v>
      </c>
    </row>
    <row r="242" spans="1:6" x14ac:dyDescent="0.25">
      <c r="A242" s="58">
        <v>230</v>
      </c>
      <c r="B242" s="30" t="s">
        <v>224</v>
      </c>
      <c r="C242" s="58" t="s">
        <v>91</v>
      </c>
      <c r="D242" s="7">
        <v>1</v>
      </c>
      <c r="E242" s="10">
        <v>2095.71</v>
      </c>
      <c r="F242" s="10">
        <f t="shared" si="7"/>
        <v>2095.71</v>
      </c>
    </row>
    <row r="243" spans="1:6" x14ac:dyDescent="0.25">
      <c r="A243" s="58">
        <v>231</v>
      </c>
      <c r="B243" s="30" t="s">
        <v>225</v>
      </c>
      <c r="C243" s="58" t="s">
        <v>91</v>
      </c>
      <c r="D243" s="7">
        <v>1</v>
      </c>
      <c r="E243" s="10">
        <v>2464.29</v>
      </c>
      <c r="F243" s="10">
        <f t="shared" si="7"/>
        <v>2464.29</v>
      </c>
    </row>
    <row r="244" spans="1:6" x14ac:dyDescent="0.25">
      <c r="A244" s="58">
        <v>232</v>
      </c>
      <c r="B244" s="30" t="s">
        <v>262</v>
      </c>
      <c r="C244" s="58" t="s">
        <v>91</v>
      </c>
      <c r="D244" s="7">
        <v>1</v>
      </c>
      <c r="E244" s="10">
        <v>1800</v>
      </c>
      <c r="F244" s="10">
        <f t="shared" si="7"/>
        <v>1800</v>
      </c>
    </row>
    <row r="245" spans="1:6" x14ac:dyDescent="0.25">
      <c r="A245" s="58">
        <v>233</v>
      </c>
      <c r="B245" s="30" t="s">
        <v>227</v>
      </c>
      <c r="C245" s="58" t="s">
        <v>91</v>
      </c>
      <c r="D245" s="7">
        <v>1</v>
      </c>
      <c r="E245" s="10">
        <v>1450</v>
      </c>
      <c r="F245" s="10">
        <f t="shared" si="7"/>
        <v>1450</v>
      </c>
    </row>
    <row r="246" spans="1:6" x14ac:dyDescent="0.25">
      <c r="A246" s="58">
        <v>234</v>
      </c>
      <c r="B246" s="30" t="s">
        <v>228</v>
      </c>
      <c r="C246" s="58" t="s">
        <v>91</v>
      </c>
      <c r="D246" s="7">
        <v>1</v>
      </c>
      <c r="E246" s="10">
        <v>1600</v>
      </c>
      <c r="F246" s="10">
        <f t="shared" si="7"/>
        <v>1600</v>
      </c>
    </row>
    <row r="247" spans="1:6" x14ac:dyDescent="0.25">
      <c r="A247" s="58">
        <v>235</v>
      </c>
      <c r="B247" s="30" t="s">
        <v>229</v>
      </c>
      <c r="C247" s="58" t="s">
        <v>91</v>
      </c>
      <c r="D247" s="7">
        <v>1</v>
      </c>
      <c r="E247" s="10">
        <v>2000</v>
      </c>
      <c r="F247" s="10">
        <f t="shared" si="7"/>
        <v>2000</v>
      </c>
    </row>
    <row r="248" spans="1:6" x14ac:dyDescent="0.25">
      <c r="A248" s="58">
        <v>236</v>
      </c>
      <c r="B248" s="30" t="s">
        <v>230</v>
      </c>
      <c r="C248" s="58" t="s">
        <v>91</v>
      </c>
      <c r="D248" s="7">
        <v>1</v>
      </c>
      <c r="E248" s="10">
        <v>1200</v>
      </c>
      <c r="F248" s="10">
        <f t="shared" si="7"/>
        <v>1200</v>
      </c>
    </row>
    <row r="249" spans="1:6" x14ac:dyDescent="0.25">
      <c r="A249" s="58">
        <v>237</v>
      </c>
      <c r="B249" s="30" t="s">
        <v>231</v>
      </c>
      <c r="C249" s="58" t="s">
        <v>91</v>
      </c>
      <c r="D249" s="7">
        <v>1</v>
      </c>
      <c r="E249" s="10">
        <v>320</v>
      </c>
      <c r="F249" s="10">
        <f t="shared" si="7"/>
        <v>320</v>
      </c>
    </row>
    <row r="250" spans="1:6" x14ac:dyDescent="0.25">
      <c r="A250" s="58">
        <v>238</v>
      </c>
      <c r="B250" s="30" t="s">
        <v>232</v>
      </c>
      <c r="C250" s="58" t="s">
        <v>91</v>
      </c>
      <c r="D250" s="7">
        <v>1</v>
      </c>
      <c r="E250" s="10">
        <v>342.86</v>
      </c>
      <c r="F250" s="10">
        <f t="shared" si="7"/>
        <v>342.86</v>
      </c>
    </row>
    <row r="251" spans="1:6" x14ac:dyDescent="0.25">
      <c r="A251" s="58">
        <v>239</v>
      </c>
      <c r="B251" s="30" t="s">
        <v>233</v>
      </c>
      <c r="C251" s="58" t="s">
        <v>91</v>
      </c>
      <c r="D251" s="7">
        <v>1</v>
      </c>
      <c r="E251" s="10">
        <v>428.57</v>
      </c>
      <c r="F251" s="10">
        <f t="shared" si="7"/>
        <v>428.57</v>
      </c>
    </row>
    <row r="252" spans="1:6" x14ac:dyDescent="0.25">
      <c r="A252" s="58">
        <v>240</v>
      </c>
      <c r="B252" s="30" t="s">
        <v>234</v>
      </c>
      <c r="C252" s="58" t="s">
        <v>91</v>
      </c>
      <c r="D252" s="7">
        <v>1</v>
      </c>
      <c r="E252" s="10">
        <v>707.14</v>
      </c>
      <c r="F252" s="10">
        <f t="shared" si="7"/>
        <v>707.14</v>
      </c>
    </row>
    <row r="253" spans="1:6" x14ac:dyDescent="0.25">
      <c r="A253" s="58">
        <v>241</v>
      </c>
      <c r="B253" s="30" t="s">
        <v>235</v>
      </c>
      <c r="C253" s="58" t="s">
        <v>91</v>
      </c>
      <c r="D253" s="7">
        <v>1</v>
      </c>
      <c r="E253" s="10">
        <v>814.29</v>
      </c>
      <c r="F253" s="10">
        <f t="shared" si="7"/>
        <v>814.29</v>
      </c>
    </row>
    <row r="254" spans="1:6" x14ac:dyDescent="0.25">
      <c r="A254" s="58">
        <v>242</v>
      </c>
      <c r="B254" s="30" t="s">
        <v>236</v>
      </c>
      <c r="C254" s="58" t="s">
        <v>91</v>
      </c>
      <c r="D254" s="7">
        <v>1</v>
      </c>
      <c r="E254" s="10">
        <v>1242.8599999999999</v>
      </c>
      <c r="F254" s="10">
        <f t="shared" si="7"/>
        <v>1242.8599999999999</v>
      </c>
    </row>
    <row r="255" spans="1:6" x14ac:dyDescent="0.25">
      <c r="A255" s="58">
        <v>243</v>
      </c>
      <c r="B255" s="30" t="s">
        <v>237</v>
      </c>
      <c r="C255" s="58" t="s">
        <v>91</v>
      </c>
      <c r="D255" s="7">
        <v>1</v>
      </c>
      <c r="E255" s="10">
        <v>1403.57</v>
      </c>
      <c r="F255" s="10">
        <f t="shared" si="7"/>
        <v>1403.57</v>
      </c>
    </row>
    <row r="256" spans="1:6" x14ac:dyDescent="0.25">
      <c r="A256" s="58">
        <v>244</v>
      </c>
      <c r="B256" s="30" t="s">
        <v>238</v>
      </c>
      <c r="C256" s="58" t="s">
        <v>91</v>
      </c>
      <c r="D256" s="7">
        <v>1</v>
      </c>
      <c r="E256" s="10">
        <v>1607.14</v>
      </c>
      <c r="F256" s="10">
        <f t="shared" si="7"/>
        <v>1607.14</v>
      </c>
    </row>
    <row r="257" spans="1:6" x14ac:dyDescent="0.25">
      <c r="A257" s="514" t="s">
        <v>290</v>
      </c>
      <c r="B257" s="522"/>
      <c r="C257" s="522"/>
      <c r="D257" s="522"/>
      <c r="E257" s="523"/>
      <c r="F257" s="43">
        <f>SUM(F232:F256)</f>
        <v>27645.850000000002</v>
      </c>
    </row>
    <row r="258" spans="1:6" ht="15.75" x14ac:dyDescent="0.25">
      <c r="A258" s="524" t="s">
        <v>296</v>
      </c>
      <c r="B258" s="525"/>
      <c r="C258" s="525"/>
      <c r="D258" s="525"/>
      <c r="E258" s="525"/>
      <c r="F258" s="526"/>
    </row>
    <row r="259" spans="1:6" x14ac:dyDescent="0.25">
      <c r="A259" s="58">
        <v>245</v>
      </c>
      <c r="B259" s="30" t="s">
        <v>242</v>
      </c>
      <c r="C259" s="58" t="s">
        <v>91</v>
      </c>
      <c r="D259" s="7">
        <v>1</v>
      </c>
      <c r="E259" s="10">
        <v>150</v>
      </c>
      <c r="F259" s="10">
        <f t="shared" si="7"/>
        <v>150</v>
      </c>
    </row>
    <row r="260" spans="1:6" x14ac:dyDescent="0.25">
      <c r="A260" s="58">
        <v>246</v>
      </c>
      <c r="B260" s="30" t="s">
        <v>243</v>
      </c>
      <c r="C260" s="58" t="s">
        <v>91</v>
      </c>
      <c r="D260" s="7">
        <v>1</v>
      </c>
      <c r="E260" s="10">
        <v>120</v>
      </c>
      <c r="F260" s="10">
        <f t="shared" si="7"/>
        <v>120</v>
      </c>
    </row>
    <row r="261" spans="1:6" x14ac:dyDescent="0.25">
      <c r="A261" s="58">
        <v>247</v>
      </c>
      <c r="B261" s="30" t="s">
        <v>244</v>
      </c>
      <c r="C261" s="58" t="s">
        <v>91</v>
      </c>
      <c r="D261" s="7">
        <v>1</v>
      </c>
      <c r="E261" s="10">
        <v>300</v>
      </c>
      <c r="F261" s="10">
        <f t="shared" si="7"/>
        <v>300</v>
      </c>
    </row>
    <row r="262" spans="1:6" x14ac:dyDescent="0.25">
      <c r="A262" s="58">
        <v>248</v>
      </c>
      <c r="B262" s="30" t="s">
        <v>248</v>
      </c>
      <c r="C262" s="58" t="s">
        <v>91</v>
      </c>
      <c r="D262" s="7">
        <v>1</v>
      </c>
      <c r="E262" s="10">
        <v>90</v>
      </c>
      <c r="F262" s="10">
        <f t="shared" si="7"/>
        <v>90</v>
      </c>
    </row>
    <row r="263" spans="1:6" x14ac:dyDescent="0.25">
      <c r="A263" s="58">
        <v>249</v>
      </c>
      <c r="B263" s="41" t="s">
        <v>246</v>
      </c>
      <c r="C263" s="58" t="s">
        <v>91</v>
      </c>
      <c r="D263" s="7">
        <v>1</v>
      </c>
      <c r="E263" s="10">
        <v>35</v>
      </c>
      <c r="F263" s="10">
        <f t="shared" si="7"/>
        <v>35</v>
      </c>
    </row>
    <row r="264" spans="1:6" x14ac:dyDescent="0.25">
      <c r="A264" s="58">
        <v>250</v>
      </c>
      <c r="B264" s="41" t="s">
        <v>245</v>
      </c>
      <c r="C264" s="58" t="s">
        <v>91</v>
      </c>
      <c r="D264" s="7">
        <v>2</v>
      </c>
      <c r="E264" s="10">
        <v>190</v>
      </c>
      <c r="F264" s="10">
        <f t="shared" si="7"/>
        <v>380</v>
      </c>
    </row>
    <row r="265" spans="1:6" x14ac:dyDescent="0.25">
      <c r="A265" s="58">
        <v>251</v>
      </c>
      <c r="B265" s="41" t="s">
        <v>247</v>
      </c>
      <c r="C265" s="58" t="s">
        <v>91</v>
      </c>
      <c r="D265" s="7">
        <v>2</v>
      </c>
      <c r="E265" s="10">
        <v>86</v>
      </c>
      <c r="F265" s="10">
        <f t="shared" si="7"/>
        <v>172</v>
      </c>
    </row>
    <row r="266" spans="1:6" ht="14.45" customHeight="1" x14ac:dyDescent="0.25">
      <c r="A266" s="514" t="s">
        <v>291</v>
      </c>
      <c r="B266" s="522"/>
      <c r="C266" s="522"/>
      <c r="D266" s="522"/>
      <c r="E266" s="523"/>
      <c r="F266" s="11">
        <f>SUM(F259:F265)</f>
        <v>1247</v>
      </c>
    </row>
    <row r="267" spans="1:6" ht="14.45" customHeight="1" x14ac:dyDescent="0.25">
      <c r="A267" s="524" t="s">
        <v>428</v>
      </c>
      <c r="B267" s="525"/>
      <c r="C267" s="525"/>
      <c r="D267" s="525"/>
      <c r="E267" s="525"/>
      <c r="F267" s="526"/>
    </row>
    <row r="268" spans="1:6" ht="14.45" customHeight="1" x14ac:dyDescent="0.25">
      <c r="A268" s="64"/>
      <c r="B268" s="30" t="s">
        <v>429</v>
      </c>
      <c r="C268" s="58" t="s">
        <v>91</v>
      </c>
      <c r="D268" s="7">
        <v>2</v>
      </c>
      <c r="E268" s="64"/>
      <c r="F268" s="11"/>
    </row>
    <row r="269" spans="1:6" ht="14.45" customHeight="1" x14ac:dyDescent="0.25">
      <c r="A269" s="64"/>
      <c r="B269" s="30" t="s">
        <v>430</v>
      </c>
      <c r="C269" s="58" t="s">
        <v>91</v>
      </c>
      <c r="D269" s="7">
        <v>2</v>
      </c>
      <c r="E269" s="64"/>
      <c r="F269" s="11"/>
    </row>
    <row r="270" spans="1:6" ht="14.45" customHeight="1" x14ac:dyDescent="0.25">
      <c r="A270" s="64"/>
      <c r="B270" s="30" t="s">
        <v>433</v>
      </c>
      <c r="C270" s="58" t="s">
        <v>182</v>
      </c>
      <c r="D270" s="7">
        <v>80</v>
      </c>
      <c r="E270" s="64"/>
      <c r="F270" s="11"/>
    </row>
    <row r="271" spans="1:6" ht="14.45" customHeight="1" x14ac:dyDescent="0.25">
      <c r="A271" s="64"/>
      <c r="B271" s="30" t="s">
        <v>432</v>
      </c>
      <c r="C271" s="58" t="s">
        <v>91</v>
      </c>
      <c r="D271" s="7">
        <v>23</v>
      </c>
      <c r="E271" s="64"/>
      <c r="F271" s="11"/>
    </row>
    <row r="272" spans="1:6" ht="14.45" customHeight="1" x14ac:dyDescent="0.25">
      <c r="A272" s="64"/>
      <c r="B272" s="30" t="s">
        <v>431</v>
      </c>
      <c r="C272" s="58" t="s">
        <v>182</v>
      </c>
      <c r="D272" s="7">
        <v>4</v>
      </c>
      <c r="E272" s="64"/>
      <c r="F272" s="11"/>
    </row>
    <row r="273" spans="1:6" ht="14.45" customHeight="1" x14ac:dyDescent="0.25">
      <c r="A273" s="65"/>
      <c r="B273" s="30" t="s">
        <v>434</v>
      </c>
      <c r="C273" s="65" t="s">
        <v>91</v>
      </c>
      <c r="D273" s="65">
        <v>4</v>
      </c>
      <c r="E273" s="65"/>
      <c r="F273" s="66"/>
    </row>
    <row r="274" spans="1:6" ht="14.45" customHeight="1" x14ac:dyDescent="0.25">
      <c r="A274" s="62"/>
      <c r="B274" s="61"/>
      <c r="C274" s="61"/>
      <c r="D274" s="61"/>
      <c r="E274" s="61"/>
      <c r="F274" s="63"/>
    </row>
    <row r="275" spans="1:6" ht="14.45" customHeight="1" x14ac:dyDescent="0.25">
      <c r="A275" s="62"/>
      <c r="B275" s="61"/>
      <c r="C275" s="61"/>
      <c r="D275" s="61"/>
      <c r="E275" s="61"/>
      <c r="F275" s="63"/>
    </row>
    <row r="276" spans="1:6" ht="14.45" customHeight="1" x14ac:dyDescent="0.25">
      <c r="A276" s="62"/>
      <c r="B276" s="61"/>
      <c r="C276" s="61"/>
      <c r="D276" s="61"/>
      <c r="E276" s="61"/>
      <c r="F276" s="63"/>
    </row>
    <row r="277" spans="1:6" ht="14.45" customHeight="1" x14ac:dyDescent="0.25">
      <c r="A277" s="62"/>
      <c r="B277" s="61"/>
      <c r="C277" s="61"/>
      <c r="D277" s="61"/>
      <c r="E277" s="61"/>
      <c r="F277" s="63"/>
    </row>
    <row r="278" spans="1:6" ht="14.45" customHeight="1" x14ac:dyDescent="0.25">
      <c r="A278" s="62"/>
      <c r="B278" s="61"/>
      <c r="C278" s="61"/>
      <c r="D278" s="61"/>
      <c r="E278" s="61"/>
      <c r="F278" s="63"/>
    </row>
    <row r="279" spans="1:6" ht="14.45" customHeight="1" x14ac:dyDescent="0.25">
      <c r="A279" s="62"/>
      <c r="B279" s="61"/>
      <c r="C279" s="61"/>
      <c r="D279" s="61"/>
      <c r="E279" s="61"/>
      <c r="F279" s="63"/>
    </row>
    <row r="280" spans="1:6" ht="14.45" customHeight="1" x14ac:dyDescent="0.25">
      <c r="A280" s="62"/>
      <c r="B280" s="61"/>
      <c r="C280" s="61"/>
      <c r="D280" s="61"/>
      <c r="E280" s="61"/>
      <c r="F280" s="63"/>
    </row>
    <row r="281" spans="1:6" ht="14.45" customHeight="1" x14ac:dyDescent="0.25">
      <c r="A281" s="62"/>
      <c r="B281" s="61"/>
      <c r="C281" s="61"/>
      <c r="D281" s="61"/>
      <c r="E281" s="61"/>
      <c r="F281" s="63"/>
    </row>
    <row r="282" spans="1:6" ht="14.45" customHeight="1" x14ac:dyDescent="0.25">
      <c r="A282" s="62"/>
      <c r="B282" s="61"/>
      <c r="C282" s="61"/>
      <c r="D282" s="61"/>
      <c r="E282" s="61"/>
      <c r="F282" s="63"/>
    </row>
    <row r="283" spans="1:6" ht="14.45" customHeight="1" x14ac:dyDescent="0.25">
      <c r="A283" s="62"/>
      <c r="B283" s="61"/>
      <c r="C283" s="61"/>
      <c r="D283" s="61"/>
      <c r="E283" s="61"/>
      <c r="F283" s="63"/>
    </row>
    <row r="284" spans="1:6" ht="14.45" customHeight="1" x14ac:dyDescent="0.25">
      <c r="A284" s="62"/>
      <c r="B284" s="61"/>
      <c r="C284" s="61"/>
      <c r="D284" s="61"/>
      <c r="E284" s="61"/>
      <c r="F284" s="63"/>
    </row>
    <row r="285" spans="1:6" ht="14.45" customHeight="1" x14ac:dyDescent="0.25">
      <c r="A285" s="62"/>
      <c r="B285" s="61"/>
      <c r="C285" s="61"/>
      <c r="D285" s="61"/>
      <c r="E285" s="61"/>
      <c r="F285" s="63"/>
    </row>
    <row r="286" spans="1:6" ht="14.45" customHeight="1" x14ac:dyDescent="0.25">
      <c r="A286" s="57"/>
      <c r="B286" s="59"/>
      <c r="C286" s="59"/>
      <c r="D286" s="59"/>
      <c r="E286" s="59"/>
      <c r="F286" s="60"/>
    </row>
    <row r="287" spans="1:6" ht="14.45" customHeight="1" x14ac:dyDescent="0.25">
      <c r="A287" s="57"/>
      <c r="B287" s="59"/>
      <c r="C287" s="59"/>
      <c r="D287" s="59"/>
      <c r="E287" s="59"/>
      <c r="F287" s="60"/>
    </row>
    <row r="288" spans="1:6" ht="14.45" customHeight="1" x14ac:dyDescent="0.25">
      <c r="A288" s="57"/>
      <c r="B288" s="59"/>
      <c r="C288" s="59"/>
      <c r="D288" s="59"/>
      <c r="E288" s="59"/>
      <c r="F288" s="60"/>
    </row>
    <row r="289" spans="1:6" ht="14.45" customHeight="1" x14ac:dyDescent="0.25">
      <c r="A289" s="57"/>
      <c r="B289" s="59"/>
      <c r="C289" s="59"/>
      <c r="D289" s="59"/>
      <c r="E289" s="59"/>
      <c r="F289" s="60"/>
    </row>
    <row r="290" spans="1:6" ht="14.45" customHeight="1" x14ac:dyDescent="0.25">
      <c r="A290" s="57"/>
      <c r="B290" s="59"/>
      <c r="C290" s="59"/>
      <c r="D290" s="59"/>
      <c r="E290" s="59"/>
      <c r="F290" s="60"/>
    </row>
    <row r="291" spans="1:6" ht="14.45" customHeight="1" x14ac:dyDescent="0.25">
      <c r="A291" s="57"/>
      <c r="B291" s="59"/>
      <c r="C291" s="59"/>
      <c r="D291" s="59"/>
      <c r="E291" s="59"/>
      <c r="F291" s="60"/>
    </row>
    <row r="292" spans="1:6" ht="14.45" customHeight="1" x14ac:dyDescent="0.25">
      <c r="A292" s="57"/>
      <c r="B292" s="59"/>
      <c r="C292" s="59"/>
      <c r="D292" s="59"/>
      <c r="E292" s="59"/>
      <c r="F292" s="60"/>
    </row>
    <row r="293" spans="1:6" ht="14.45" customHeight="1" x14ac:dyDescent="0.25">
      <c r="A293" s="57"/>
      <c r="B293" s="59"/>
      <c r="C293" s="59"/>
      <c r="D293" s="59"/>
      <c r="E293" s="59"/>
      <c r="F293" s="60"/>
    </row>
    <row r="294" spans="1:6" ht="14.45" customHeight="1" x14ac:dyDescent="0.25">
      <c r="A294" s="57"/>
      <c r="B294" s="59"/>
      <c r="C294" s="59"/>
      <c r="D294" s="59"/>
      <c r="E294" s="59"/>
      <c r="F294" s="60"/>
    </row>
    <row r="295" spans="1:6" ht="14.45" customHeight="1" x14ac:dyDescent="0.25">
      <c r="A295" s="57"/>
      <c r="B295" s="59"/>
      <c r="C295" s="59"/>
      <c r="D295" s="59"/>
      <c r="E295" s="59"/>
      <c r="F295" s="60"/>
    </row>
    <row r="296" spans="1:6" ht="14.45" customHeight="1" x14ac:dyDescent="0.25">
      <c r="A296" s="57"/>
      <c r="B296" s="59"/>
      <c r="C296" s="59"/>
      <c r="D296" s="59"/>
      <c r="E296" s="59"/>
      <c r="F296" s="60"/>
    </row>
    <row r="297" spans="1:6" ht="14.45" customHeight="1" x14ac:dyDescent="0.25">
      <c r="A297" s="57"/>
      <c r="B297" s="59"/>
      <c r="C297" s="59"/>
      <c r="D297" s="59"/>
      <c r="E297" s="59"/>
      <c r="F297" s="60"/>
    </row>
    <row r="298" spans="1:6" ht="14.45" customHeight="1" x14ac:dyDescent="0.25">
      <c r="A298" s="57"/>
      <c r="B298" s="59"/>
      <c r="C298" s="59"/>
      <c r="D298" s="59"/>
      <c r="E298" s="59"/>
      <c r="F298" s="60"/>
    </row>
    <row r="299" spans="1:6" ht="14.45" customHeight="1" x14ac:dyDescent="0.25">
      <c r="A299" s="57"/>
      <c r="B299" s="59"/>
      <c r="C299" s="59"/>
      <c r="D299" s="59"/>
      <c r="E299" s="59"/>
      <c r="F299" s="60"/>
    </row>
    <row r="300" spans="1:6" ht="14.45" customHeight="1" x14ac:dyDescent="0.25">
      <c r="A300" s="57"/>
      <c r="B300" s="59"/>
      <c r="C300" s="59"/>
      <c r="D300" s="59"/>
      <c r="E300" s="59"/>
      <c r="F300" s="60"/>
    </row>
    <row r="301" spans="1:6" ht="14.45" customHeight="1" x14ac:dyDescent="0.25">
      <c r="A301" s="57"/>
      <c r="B301" s="59"/>
      <c r="C301" s="59"/>
      <c r="D301" s="59"/>
      <c r="E301" s="59"/>
      <c r="F301" s="60"/>
    </row>
    <row r="302" spans="1:6" ht="14.45" customHeight="1" x14ac:dyDescent="0.25">
      <c r="A302" s="57"/>
      <c r="B302" s="59"/>
      <c r="C302" s="59"/>
      <c r="D302" s="59"/>
      <c r="E302" s="59"/>
      <c r="F302" s="60"/>
    </row>
    <row r="303" spans="1:6" ht="14.45" customHeight="1" x14ac:dyDescent="0.25">
      <c r="A303" s="57"/>
      <c r="B303" s="59"/>
      <c r="C303" s="59"/>
      <c r="D303" s="59"/>
      <c r="E303" s="59"/>
      <c r="F303" s="60"/>
    </row>
    <row r="304" spans="1:6" ht="14.45" customHeight="1" x14ac:dyDescent="0.25">
      <c r="A304" s="57"/>
      <c r="B304" s="59"/>
      <c r="C304" s="59"/>
      <c r="D304" s="59"/>
      <c r="E304" s="59"/>
      <c r="F304" s="60"/>
    </row>
    <row r="305" spans="1:6" ht="14.45" customHeight="1" x14ac:dyDescent="0.25">
      <c r="A305" s="57"/>
      <c r="B305" s="59"/>
      <c r="C305" s="59"/>
      <c r="D305" s="59"/>
      <c r="E305" s="59"/>
      <c r="F305" s="60"/>
    </row>
    <row r="306" spans="1:6" ht="14.45" customHeight="1" x14ac:dyDescent="0.25">
      <c r="A306" s="57"/>
      <c r="B306" s="59"/>
      <c r="C306" s="59"/>
      <c r="D306" s="59"/>
      <c r="E306" s="59"/>
      <c r="F306" s="60"/>
    </row>
    <row r="307" spans="1:6" ht="14.45" customHeight="1" x14ac:dyDescent="0.25">
      <c r="A307" s="57"/>
      <c r="B307" s="59"/>
      <c r="C307" s="59"/>
      <c r="D307" s="59"/>
      <c r="E307" s="59"/>
      <c r="F307" s="60"/>
    </row>
    <row r="308" spans="1:6" ht="14.45" customHeight="1" x14ac:dyDescent="0.25">
      <c r="A308" s="57"/>
      <c r="B308" s="59"/>
      <c r="C308" s="59"/>
      <c r="D308" s="59"/>
      <c r="E308" s="59"/>
      <c r="F308" s="60"/>
    </row>
    <row r="309" spans="1:6" ht="14.45" customHeight="1" x14ac:dyDescent="0.25">
      <c r="A309" s="57"/>
      <c r="B309" s="59"/>
      <c r="C309" s="59"/>
      <c r="D309" s="59"/>
      <c r="E309" s="59"/>
      <c r="F309" s="60"/>
    </row>
    <row r="310" spans="1:6" ht="14.45" customHeight="1" x14ac:dyDescent="0.25">
      <c r="A310" s="57"/>
      <c r="B310" s="59"/>
      <c r="C310" s="59"/>
      <c r="D310" s="59"/>
      <c r="E310" s="59"/>
      <c r="F310" s="60"/>
    </row>
    <row r="311" spans="1:6" ht="14.45" customHeight="1" x14ac:dyDescent="0.25">
      <c r="A311" s="57"/>
      <c r="B311" s="59"/>
      <c r="C311" s="59"/>
      <c r="D311" s="59"/>
      <c r="E311" s="59"/>
      <c r="F311" s="60"/>
    </row>
    <row r="312" spans="1:6" ht="15.75" x14ac:dyDescent="0.25">
      <c r="A312" s="524" t="s">
        <v>293</v>
      </c>
      <c r="B312" s="525"/>
      <c r="C312" s="525"/>
      <c r="D312" s="525"/>
      <c r="E312" s="525"/>
      <c r="F312" s="526"/>
    </row>
    <row r="313" spans="1:6" x14ac:dyDescent="0.25">
      <c r="A313" s="58">
        <v>252</v>
      </c>
      <c r="B313" s="41" t="s">
        <v>294</v>
      </c>
      <c r="C313" s="58" t="s">
        <v>91</v>
      </c>
      <c r="D313" s="29">
        <v>1</v>
      </c>
      <c r="E313" s="5">
        <v>4200</v>
      </c>
      <c r="F313" s="10">
        <f t="shared" ref="F313:F332" si="8">D313*E313</f>
        <v>4200</v>
      </c>
    </row>
    <row r="314" spans="1:6" x14ac:dyDescent="0.25">
      <c r="A314" s="58">
        <v>253</v>
      </c>
      <c r="B314" s="41" t="s">
        <v>263</v>
      </c>
      <c r="C314" s="58" t="s">
        <v>91</v>
      </c>
      <c r="D314" s="7">
        <v>1</v>
      </c>
      <c r="E314" s="5">
        <v>800</v>
      </c>
      <c r="F314" s="10">
        <f t="shared" si="8"/>
        <v>800</v>
      </c>
    </row>
    <row r="315" spans="1:6" x14ac:dyDescent="0.25">
      <c r="A315" s="58">
        <v>254</v>
      </c>
      <c r="B315" s="41" t="s">
        <v>264</v>
      </c>
      <c r="C315" s="58" t="s">
        <v>91</v>
      </c>
      <c r="D315" s="7">
        <v>1</v>
      </c>
      <c r="E315" s="5">
        <v>800</v>
      </c>
      <c r="F315" s="10">
        <f t="shared" si="8"/>
        <v>800</v>
      </c>
    </row>
    <row r="316" spans="1:6" x14ac:dyDescent="0.25">
      <c r="A316" s="58">
        <v>255</v>
      </c>
      <c r="B316" s="41" t="s">
        <v>275</v>
      </c>
      <c r="C316" s="58" t="s">
        <v>91</v>
      </c>
      <c r="D316" s="7">
        <v>2</v>
      </c>
      <c r="E316" s="5">
        <v>65</v>
      </c>
      <c r="F316" s="10">
        <f t="shared" si="8"/>
        <v>130</v>
      </c>
    </row>
    <row r="317" spans="1:6" x14ac:dyDescent="0.25">
      <c r="A317" s="58">
        <v>256</v>
      </c>
      <c r="B317" s="41" t="s">
        <v>265</v>
      </c>
      <c r="C317" s="58" t="s">
        <v>91</v>
      </c>
      <c r="D317" s="7">
        <v>2</v>
      </c>
      <c r="E317" s="5">
        <v>180</v>
      </c>
      <c r="F317" s="10">
        <f t="shared" si="8"/>
        <v>360</v>
      </c>
    </row>
    <row r="318" spans="1:6" x14ac:dyDescent="0.25">
      <c r="A318" s="58">
        <v>257</v>
      </c>
      <c r="B318" s="41" t="s">
        <v>266</v>
      </c>
      <c r="C318" s="58" t="s">
        <v>91</v>
      </c>
      <c r="D318" s="7">
        <v>1</v>
      </c>
      <c r="E318" s="5">
        <v>144</v>
      </c>
      <c r="F318" s="10">
        <f t="shared" si="8"/>
        <v>144</v>
      </c>
    </row>
    <row r="319" spans="1:6" x14ac:dyDescent="0.25">
      <c r="A319" s="58">
        <v>258</v>
      </c>
      <c r="B319" s="41" t="s">
        <v>278</v>
      </c>
      <c r="C319" s="58" t="s">
        <v>91</v>
      </c>
      <c r="D319" s="7">
        <v>1</v>
      </c>
      <c r="E319" s="5">
        <v>35</v>
      </c>
      <c r="F319" s="10">
        <f t="shared" si="8"/>
        <v>35</v>
      </c>
    </row>
    <row r="320" spans="1:6" x14ac:dyDescent="0.25">
      <c r="A320" s="58">
        <v>259</v>
      </c>
      <c r="B320" s="41" t="s">
        <v>280</v>
      </c>
      <c r="C320" s="58" t="s">
        <v>91</v>
      </c>
      <c r="D320" s="7">
        <v>1</v>
      </c>
      <c r="E320" s="5">
        <v>320</v>
      </c>
      <c r="F320" s="10">
        <f t="shared" si="8"/>
        <v>320</v>
      </c>
    </row>
    <row r="321" spans="1:6" x14ac:dyDescent="0.25">
      <c r="A321" s="58">
        <v>260</v>
      </c>
      <c r="B321" s="41" t="s">
        <v>279</v>
      </c>
      <c r="C321" s="58" t="s">
        <v>91</v>
      </c>
      <c r="D321" s="7">
        <v>1</v>
      </c>
      <c r="E321" s="5">
        <v>240</v>
      </c>
      <c r="F321" s="10">
        <f t="shared" si="8"/>
        <v>240</v>
      </c>
    </row>
    <row r="322" spans="1:6" x14ac:dyDescent="0.25">
      <c r="A322" s="58">
        <v>261</v>
      </c>
      <c r="B322" s="41" t="s">
        <v>276</v>
      </c>
      <c r="C322" s="58" t="s">
        <v>91</v>
      </c>
      <c r="D322" s="7">
        <v>4</v>
      </c>
      <c r="E322" s="5">
        <v>5</v>
      </c>
      <c r="F322" s="10">
        <f t="shared" si="8"/>
        <v>20</v>
      </c>
    </row>
    <row r="323" spans="1:6" x14ac:dyDescent="0.25">
      <c r="A323" s="58">
        <v>262</v>
      </c>
      <c r="B323" s="41" t="s">
        <v>277</v>
      </c>
      <c r="C323" s="58" t="s">
        <v>91</v>
      </c>
      <c r="D323" s="7">
        <v>1</v>
      </c>
      <c r="E323" s="5">
        <v>85</v>
      </c>
      <c r="F323" s="10">
        <f t="shared" si="8"/>
        <v>85</v>
      </c>
    </row>
    <row r="324" spans="1:6" x14ac:dyDescent="0.25">
      <c r="A324" s="58">
        <v>263</v>
      </c>
      <c r="B324" s="41" t="s">
        <v>267</v>
      </c>
      <c r="C324" s="58" t="s">
        <v>198</v>
      </c>
      <c r="D324" s="7">
        <v>10</v>
      </c>
      <c r="E324" s="5">
        <v>18</v>
      </c>
      <c r="F324" s="10">
        <f t="shared" si="8"/>
        <v>180</v>
      </c>
    </row>
    <row r="325" spans="1:6" x14ac:dyDescent="0.25">
      <c r="A325" s="58">
        <v>264</v>
      </c>
      <c r="B325" s="41" t="s">
        <v>268</v>
      </c>
      <c r="C325" s="58" t="s">
        <v>203</v>
      </c>
      <c r="D325" s="7">
        <v>2</v>
      </c>
      <c r="E325" s="5">
        <v>45</v>
      </c>
      <c r="F325" s="10">
        <f t="shared" si="8"/>
        <v>90</v>
      </c>
    </row>
    <row r="326" spans="1:6" x14ac:dyDescent="0.25">
      <c r="A326" s="58">
        <v>265</v>
      </c>
      <c r="B326" s="41" t="s">
        <v>269</v>
      </c>
      <c r="C326" s="58" t="s">
        <v>91</v>
      </c>
      <c r="D326" s="29">
        <v>0.2</v>
      </c>
      <c r="E326" s="5">
        <v>4000</v>
      </c>
      <c r="F326" s="10">
        <f t="shared" si="8"/>
        <v>800</v>
      </c>
    </row>
    <row r="327" spans="1:6" x14ac:dyDescent="0.25">
      <c r="A327" s="58">
        <v>266</v>
      </c>
      <c r="B327" s="41" t="s">
        <v>270</v>
      </c>
      <c r="C327" s="58" t="s">
        <v>91</v>
      </c>
      <c r="D327" s="29">
        <v>0.2</v>
      </c>
      <c r="E327" s="5">
        <v>4000</v>
      </c>
      <c r="F327" s="10">
        <f t="shared" si="8"/>
        <v>800</v>
      </c>
    </row>
    <row r="328" spans="1:6" x14ac:dyDescent="0.25">
      <c r="A328" s="58">
        <v>267</v>
      </c>
      <c r="B328" s="42" t="s">
        <v>271</v>
      </c>
      <c r="C328" s="58" t="s">
        <v>91</v>
      </c>
      <c r="D328" s="7">
        <v>1</v>
      </c>
      <c r="E328" s="5">
        <v>390</v>
      </c>
      <c r="F328" s="10">
        <f t="shared" si="8"/>
        <v>390</v>
      </c>
    </row>
    <row r="329" spans="1:6" x14ac:dyDescent="0.25">
      <c r="A329" s="58">
        <v>268</v>
      </c>
      <c r="B329" s="41" t="s">
        <v>272</v>
      </c>
      <c r="C329" s="58" t="s">
        <v>91</v>
      </c>
      <c r="D329" s="7">
        <v>2</v>
      </c>
      <c r="E329" s="5">
        <v>396</v>
      </c>
      <c r="F329" s="10">
        <f t="shared" si="8"/>
        <v>792</v>
      </c>
    </row>
    <row r="330" spans="1:6" x14ac:dyDescent="0.25">
      <c r="A330" s="58">
        <v>269</v>
      </c>
      <c r="B330" s="41" t="s">
        <v>273</v>
      </c>
      <c r="C330" s="58" t="s">
        <v>91</v>
      </c>
      <c r="D330" s="7">
        <v>1</v>
      </c>
      <c r="E330" s="5">
        <v>502</v>
      </c>
      <c r="F330" s="10">
        <f t="shared" si="8"/>
        <v>502</v>
      </c>
    </row>
    <row r="331" spans="1:6" x14ac:dyDescent="0.25">
      <c r="A331" s="58">
        <v>270</v>
      </c>
      <c r="B331" s="41" t="s">
        <v>274</v>
      </c>
      <c r="C331" s="58" t="s">
        <v>91</v>
      </c>
      <c r="D331" s="7">
        <v>1</v>
      </c>
      <c r="E331" s="5">
        <v>76</v>
      </c>
      <c r="F331" s="10">
        <f t="shared" si="8"/>
        <v>76</v>
      </c>
    </row>
    <row r="332" spans="1:6" x14ac:dyDescent="0.25">
      <c r="A332" s="58">
        <v>271</v>
      </c>
      <c r="B332" s="41" t="s">
        <v>281</v>
      </c>
      <c r="C332" s="58" t="s">
        <v>91</v>
      </c>
      <c r="D332" s="7">
        <v>1</v>
      </c>
      <c r="E332" s="5">
        <v>140</v>
      </c>
      <c r="F332" s="10">
        <f t="shared" si="8"/>
        <v>140</v>
      </c>
    </row>
    <row r="333" spans="1:6" x14ac:dyDescent="0.25">
      <c r="A333" s="58">
        <v>272</v>
      </c>
      <c r="B333" s="41" t="s">
        <v>282</v>
      </c>
      <c r="C333" s="58" t="s">
        <v>91</v>
      </c>
      <c r="D333" s="7">
        <v>2</v>
      </c>
      <c r="E333" s="5">
        <v>344</v>
      </c>
      <c r="F333" s="10">
        <f>D333*E333</f>
        <v>688</v>
      </c>
    </row>
    <row r="334" spans="1:6" x14ac:dyDescent="0.25">
      <c r="A334" s="58">
        <v>273</v>
      </c>
      <c r="B334" s="41" t="s">
        <v>305</v>
      </c>
      <c r="C334" s="58" t="s">
        <v>297</v>
      </c>
      <c r="D334" s="7">
        <v>150</v>
      </c>
      <c r="E334" s="5">
        <v>15.29</v>
      </c>
      <c r="F334" s="10">
        <f>D334*E334</f>
        <v>2293.5</v>
      </c>
    </row>
    <row r="335" spans="1:6" x14ac:dyDescent="0.25">
      <c r="A335" s="58">
        <v>274</v>
      </c>
      <c r="B335" s="41" t="s">
        <v>306</v>
      </c>
      <c r="C335" s="58" t="s">
        <v>297</v>
      </c>
      <c r="D335" s="7">
        <v>150</v>
      </c>
      <c r="E335" s="5">
        <v>7.27</v>
      </c>
      <c r="F335" s="10">
        <f>D335*E335</f>
        <v>1090.5</v>
      </c>
    </row>
    <row r="336" spans="1:6" x14ac:dyDescent="0.25">
      <c r="A336" s="514" t="s">
        <v>292</v>
      </c>
      <c r="B336" s="522"/>
      <c r="C336" s="522"/>
      <c r="D336" s="522"/>
      <c r="E336" s="523"/>
      <c r="F336" s="44">
        <f>SUM(F313:F335)</f>
        <v>14976</v>
      </c>
    </row>
    <row r="337" spans="1:6" ht="15.75" x14ac:dyDescent="0.25">
      <c r="A337" s="524" t="s">
        <v>423</v>
      </c>
      <c r="B337" s="525"/>
      <c r="C337" s="525"/>
      <c r="D337" s="525"/>
      <c r="E337" s="525"/>
      <c r="F337" s="526"/>
    </row>
    <row r="338" spans="1:6" x14ac:dyDescent="0.25">
      <c r="A338" s="49">
        <v>275</v>
      </c>
      <c r="B338" s="52" t="s">
        <v>425</v>
      </c>
      <c r="C338" s="49" t="s">
        <v>91</v>
      </c>
      <c r="D338" s="54">
        <v>1</v>
      </c>
      <c r="E338" s="55">
        <v>1200</v>
      </c>
      <c r="F338" s="56">
        <f t="shared" ref="F338:F340" si="9">D338*E338</f>
        <v>1200</v>
      </c>
    </row>
    <row r="339" spans="1:6" x14ac:dyDescent="0.25">
      <c r="A339" s="49">
        <v>276</v>
      </c>
      <c r="B339" s="52" t="s">
        <v>426</v>
      </c>
      <c r="C339" s="49" t="s">
        <v>91</v>
      </c>
      <c r="D339" s="54">
        <v>5</v>
      </c>
      <c r="E339" s="55">
        <v>300</v>
      </c>
      <c r="F339" s="56">
        <f t="shared" si="9"/>
        <v>1500</v>
      </c>
    </row>
    <row r="340" spans="1:6" x14ac:dyDescent="0.25">
      <c r="A340" s="53">
        <v>277</v>
      </c>
      <c r="B340" s="52" t="s">
        <v>424</v>
      </c>
      <c r="C340" s="49" t="s">
        <v>91</v>
      </c>
      <c r="D340" s="54">
        <v>2</v>
      </c>
      <c r="E340" s="55">
        <v>950</v>
      </c>
      <c r="F340" s="56">
        <f t="shared" si="9"/>
        <v>1900</v>
      </c>
    </row>
    <row r="341" spans="1:6" x14ac:dyDescent="0.25">
      <c r="A341" s="527" t="s">
        <v>427</v>
      </c>
      <c r="B341" s="528"/>
      <c r="C341" s="528"/>
      <c r="D341" s="528"/>
      <c r="E341" s="529"/>
      <c r="F341" s="56">
        <f>SUM(F338:F340)</f>
        <v>4600</v>
      </c>
    </row>
    <row r="342" spans="1:6" x14ac:dyDescent="0.25">
      <c r="A342" s="514" t="s">
        <v>420</v>
      </c>
      <c r="B342" s="522"/>
      <c r="C342" s="522"/>
      <c r="D342" s="522"/>
      <c r="E342" s="523"/>
      <c r="F342" s="44">
        <f>F336+F266+F257+F226+F158+F138+F341</f>
        <v>195564.924</v>
      </c>
    </row>
    <row r="343" spans="1:6" x14ac:dyDescent="0.25">
      <c r="A343" s="514" t="s">
        <v>421</v>
      </c>
      <c r="B343" s="522"/>
      <c r="C343" s="522"/>
      <c r="D343" s="522"/>
      <c r="E343" s="523"/>
      <c r="F343" s="44">
        <f>F342/12</f>
        <v>16297.076999999999</v>
      </c>
    </row>
  </sheetData>
  <mergeCells count="18">
    <mergeCell ref="A343:E343"/>
    <mergeCell ref="A226:E226"/>
    <mergeCell ref="A231:F231"/>
    <mergeCell ref="A257:E257"/>
    <mergeCell ref="A258:F258"/>
    <mergeCell ref="A266:E266"/>
    <mergeCell ref="A267:F267"/>
    <mergeCell ref="A312:F312"/>
    <mergeCell ref="A336:E336"/>
    <mergeCell ref="A337:F337"/>
    <mergeCell ref="A341:E341"/>
    <mergeCell ref="A342:E342"/>
    <mergeCell ref="B158:E158"/>
    <mergeCell ref="A1:F1"/>
    <mergeCell ref="A2:F2"/>
    <mergeCell ref="A3:F3"/>
    <mergeCell ref="B138:E138"/>
    <mergeCell ref="A139:F139"/>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J147"/>
  <sheetViews>
    <sheetView view="pageBreakPreview" topLeftCell="A39" zoomScale="120" zoomScaleNormal="140" zoomScaleSheetLayoutView="120" workbookViewId="0">
      <selection activeCell="H49" sqref="H49"/>
    </sheetView>
  </sheetViews>
  <sheetFormatPr defaultRowHeight="12.75" x14ac:dyDescent="0.2"/>
  <cols>
    <col min="1" max="1" width="9.140625" style="144"/>
    <col min="2" max="2" width="9.140625" style="91"/>
    <col min="3" max="3" width="11.85546875" style="91" customWidth="1"/>
    <col min="4" max="4" width="22" style="91" customWidth="1"/>
    <col min="5" max="5" width="31.7109375" style="91" customWidth="1"/>
    <col min="6" max="6" width="12.28515625" style="298" customWidth="1"/>
    <col min="7" max="7" width="16.5703125" style="91" customWidth="1"/>
    <col min="8" max="8" width="12.28515625" style="431" customWidth="1"/>
    <col min="9" max="9" width="16.5703125" style="427" customWidth="1"/>
    <col min="10" max="16384" width="9.140625" style="91"/>
  </cols>
  <sheetData>
    <row r="1" spans="1:9" ht="12" customHeight="1" thickBot="1" x14ac:dyDescent="0.25">
      <c r="A1" s="826"/>
      <c r="B1" s="826"/>
      <c r="C1" s="826"/>
      <c r="D1" s="826"/>
      <c r="E1" s="826"/>
      <c r="F1" s="826"/>
      <c r="G1" s="826"/>
      <c r="H1" s="444"/>
      <c r="I1" s="444"/>
    </row>
    <row r="2" spans="1:9" ht="26.25" customHeight="1" x14ac:dyDescent="0.2">
      <c r="A2" s="827" t="s">
        <v>1017</v>
      </c>
      <c r="B2" s="828"/>
      <c r="C2" s="828"/>
      <c r="D2" s="828"/>
      <c r="E2" s="828"/>
      <c r="F2" s="828"/>
      <c r="G2" s="828"/>
      <c r="H2" s="739" t="s">
        <v>1004</v>
      </c>
      <c r="I2" s="741"/>
    </row>
    <row r="3" spans="1:9" ht="39" customHeight="1" thickBot="1" x14ac:dyDescent="0.25">
      <c r="A3" s="829"/>
      <c r="B3" s="830"/>
      <c r="C3" s="830"/>
      <c r="D3" s="830"/>
      <c r="E3" s="830"/>
      <c r="F3" s="830"/>
      <c r="G3" s="830"/>
      <c r="H3" s="742"/>
      <c r="I3" s="744"/>
    </row>
    <row r="4" spans="1:9" ht="57" customHeight="1" x14ac:dyDescent="0.2">
      <c r="A4" s="883" t="s">
        <v>579</v>
      </c>
      <c r="B4" s="883"/>
      <c r="C4" s="883"/>
      <c r="D4" s="883"/>
      <c r="E4" s="883"/>
      <c r="F4" s="883"/>
      <c r="G4" s="884"/>
      <c r="H4" s="748"/>
      <c r="I4" s="749"/>
    </row>
    <row r="5" spans="1:9" ht="15" customHeight="1" x14ac:dyDescent="0.2">
      <c r="A5" s="785" t="s">
        <v>927</v>
      </c>
      <c r="B5" s="786"/>
      <c r="C5" s="786"/>
      <c r="D5" s="786"/>
      <c r="E5" s="786"/>
      <c r="F5" s="786"/>
      <c r="G5" s="786"/>
      <c r="H5" s="900" t="s">
        <v>1141</v>
      </c>
      <c r="I5" s="901"/>
    </row>
    <row r="6" spans="1:9" x14ac:dyDescent="0.2">
      <c r="A6" s="785" t="s">
        <v>928</v>
      </c>
      <c r="B6" s="786"/>
      <c r="C6" s="786"/>
      <c r="D6" s="786"/>
      <c r="E6" s="786"/>
      <c r="F6" s="786"/>
      <c r="G6" s="786"/>
      <c r="H6" s="902"/>
      <c r="I6" s="903"/>
    </row>
    <row r="7" spans="1:9" ht="12.75" customHeight="1" x14ac:dyDescent="0.2">
      <c r="A7" s="785" t="s">
        <v>929</v>
      </c>
      <c r="B7" s="786"/>
      <c r="C7" s="786"/>
      <c r="D7" s="786"/>
      <c r="E7" s="786"/>
      <c r="F7" s="786"/>
      <c r="G7" s="786"/>
      <c r="H7" s="902"/>
      <c r="I7" s="903"/>
    </row>
    <row r="8" spans="1:9" ht="12.75" customHeight="1" x14ac:dyDescent="0.2">
      <c r="A8" s="685" t="s">
        <v>1147</v>
      </c>
      <c r="B8" s="686"/>
      <c r="C8" s="686"/>
      <c r="D8" s="686"/>
      <c r="E8" s="686"/>
      <c r="F8" s="686"/>
      <c r="G8" s="686"/>
      <c r="H8" s="902"/>
      <c r="I8" s="903"/>
    </row>
    <row r="9" spans="1:9" x14ac:dyDescent="0.2">
      <c r="A9" s="785" t="s">
        <v>546</v>
      </c>
      <c r="B9" s="786"/>
      <c r="C9" s="786"/>
      <c r="D9" s="786"/>
      <c r="E9" s="786"/>
      <c r="F9" s="786"/>
      <c r="G9" s="786"/>
      <c r="H9" s="904"/>
      <c r="I9" s="905"/>
    </row>
    <row r="10" spans="1:9" x14ac:dyDescent="0.2">
      <c r="A10" s="160" t="s">
        <v>316</v>
      </c>
      <c r="B10" s="770" t="s">
        <v>317</v>
      </c>
      <c r="C10" s="771"/>
      <c r="D10" s="771"/>
      <c r="E10" s="772"/>
      <c r="F10" s="773">
        <v>43580</v>
      </c>
      <c r="G10" s="774"/>
      <c r="H10" s="640">
        <v>43669</v>
      </c>
      <c r="I10" s="641"/>
    </row>
    <row r="11" spans="1:9" x14ac:dyDescent="0.2">
      <c r="A11" s="160" t="s">
        <v>318</v>
      </c>
      <c r="B11" s="770" t="s">
        <v>319</v>
      </c>
      <c r="C11" s="771"/>
      <c r="D11" s="771"/>
      <c r="E11" s="772"/>
      <c r="F11" s="775" t="s">
        <v>320</v>
      </c>
      <c r="G11" s="776"/>
      <c r="H11" s="642" t="s">
        <v>320</v>
      </c>
      <c r="I11" s="643"/>
    </row>
    <row r="12" spans="1:9" ht="30.75" customHeight="1" x14ac:dyDescent="0.2">
      <c r="A12" s="160" t="s">
        <v>321</v>
      </c>
      <c r="B12" s="981" t="s">
        <v>605</v>
      </c>
      <c r="C12" s="982"/>
      <c r="D12" s="982"/>
      <c r="E12" s="983"/>
      <c r="F12" s="752" t="s">
        <v>878</v>
      </c>
      <c r="G12" s="781"/>
      <c r="H12" s="954" t="s">
        <v>1152</v>
      </c>
      <c r="I12" s="955"/>
    </row>
    <row r="13" spans="1:9" x14ac:dyDescent="0.2">
      <c r="A13" s="160" t="s">
        <v>322</v>
      </c>
      <c r="B13" s="770" t="s">
        <v>1140</v>
      </c>
      <c r="C13" s="771"/>
      <c r="D13" s="771"/>
      <c r="E13" s="772"/>
      <c r="F13" s="775">
        <v>24</v>
      </c>
      <c r="G13" s="776"/>
      <c r="H13" s="860">
        <v>24</v>
      </c>
      <c r="I13" s="861"/>
    </row>
    <row r="14" spans="1:9" x14ac:dyDescent="0.2">
      <c r="A14" s="752" t="s">
        <v>547</v>
      </c>
      <c r="B14" s="781"/>
      <c r="C14" s="781"/>
      <c r="D14" s="781"/>
      <c r="E14" s="781"/>
      <c r="F14" s="781"/>
      <c r="G14" s="781"/>
      <c r="H14" s="758"/>
      <c r="I14" s="759"/>
    </row>
    <row r="15" spans="1:9" ht="31.5" customHeight="1" x14ac:dyDescent="0.2">
      <c r="A15" s="927" t="s">
        <v>323</v>
      </c>
      <c r="B15" s="928"/>
      <c r="C15" s="928"/>
      <c r="D15" s="992"/>
      <c r="E15" s="314" t="s">
        <v>324</v>
      </c>
      <c r="F15" s="927" t="s">
        <v>899</v>
      </c>
      <c r="G15" s="928"/>
      <c r="H15" s="934" t="s">
        <v>899</v>
      </c>
      <c r="I15" s="935"/>
    </row>
    <row r="16" spans="1:9" ht="18" customHeight="1" x14ac:dyDescent="0.2">
      <c r="A16" s="997" t="s">
        <v>917</v>
      </c>
      <c r="B16" s="998"/>
      <c r="C16" s="998"/>
      <c r="D16" s="999"/>
      <c r="E16" s="78" t="s">
        <v>325</v>
      </c>
      <c r="F16" s="820">
        <v>1</v>
      </c>
      <c r="G16" s="791"/>
      <c r="H16" s="800">
        <v>1</v>
      </c>
      <c r="I16" s="801"/>
    </row>
    <row r="17" spans="1:9" ht="23.25" customHeight="1" x14ac:dyDescent="0.2">
      <c r="A17" s="789" t="s">
        <v>1112</v>
      </c>
      <c r="B17" s="790"/>
      <c r="C17" s="790"/>
      <c r="D17" s="790"/>
      <c r="E17" s="790"/>
      <c r="F17" s="995"/>
      <c r="G17" s="996"/>
      <c r="H17" s="993"/>
      <c r="I17" s="994"/>
    </row>
    <row r="18" spans="1:9" ht="20.25" customHeight="1" x14ac:dyDescent="0.2">
      <c r="A18" s="789" t="s">
        <v>1113</v>
      </c>
      <c r="B18" s="790"/>
      <c r="C18" s="790"/>
      <c r="D18" s="790"/>
      <c r="E18" s="790"/>
      <c r="F18" s="995"/>
      <c r="G18" s="996"/>
      <c r="H18" s="993"/>
      <c r="I18" s="994"/>
    </row>
    <row r="19" spans="1:9" x14ac:dyDescent="0.2">
      <c r="A19" s="752" t="s">
        <v>901</v>
      </c>
      <c r="B19" s="781"/>
      <c r="C19" s="781"/>
      <c r="D19" s="781"/>
      <c r="E19" s="781"/>
      <c r="F19" s="781"/>
      <c r="G19" s="781"/>
      <c r="H19" s="754"/>
      <c r="I19" s="755"/>
    </row>
    <row r="20" spans="1:9" x14ac:dyDescent="0.2">
      <c r="A20" s="837" t="s">
        <v>326</v>
      </c>
      <c r="B20" s="890"/>
      <c r="C20" s="890"/>
      <c r="D20" s="890"/>
      <c r="E20" s="890"/>
      <c r="F20" s="890"/>
      <c r="G20" s="890"/>
      <c r="H20" s="990"/>
      <c r="I20" s="991"/>
    </row>
    <row r="21" spans="1:9" x14ac:dyDescent="0.2">
      <c r="A21" s="837" t="s">
        <v>327</v>
      </c>
      <c r="B21" s="890"/>
      <c r="C21" s="890"/>
      <c r="D21" s="890"/>
      <c r="E21" s="890"/>
      <c r="F21" s="890"/>
      <c r="G21" s="890"/>
      <c r="H21" s="990"/>
      <c r="I21" s="991"/>
    </row>
    <row r="22" spans="1:9" ht="33" customHeight="1" x14ac:dyDescent="0.2">
      <c r="A22" s="160">
        <v>1</v>
      </c>
      <c r="B22" s="810" t="s">
        <v>328</v>
      </c>
      <c r="C22" s="811"/>
      <c r="D22" s="811"/>
      <c r="E22" s="812"/>
      <c r="F22" s="785" t="s">
        <v>617</v>
      </c>
      <c r="G22" s="786"/>
      <c r="H22" s="866" t="s">
        <v>617</v>
      </c>
      <c r="I22" s="867"/>
    </row>
    <row r="23" spans="1:9" x14ac:dyDescent="0.2">
      <c r="A23" s="160">
        <v>2</v>
      </c>
      <c r="B23" s="810" t="s">
        <v>549</v>
      </c>
      <c r="C23" s="811"/>
      <c r="D23" s="811"/>
      <c r="E23" s="812"/>
      <c r="F23" s="785" t="s">
        <v>602</v>
      </c>
      <c r="G23" s="786"/>
      <c r="H23" s="866" t="s">
        <v>602</v>
      </c>
      <c r="I23" s="867"/>
    </row>
    <row r="24" spans="1:9" x14ac:dyDescent="0.2">
      <c r="A24" s="160">
        <v>3</v>
      </c>
      <c r="B24" s="951" t="s">
        <v>550</v>
      </c>
      <c r="C24" s="952"/>
      <c r="D24" s="952"/>
      <c r="E24" s="953"/>
      <c r="F24" s="986">
        <v>1706.8</v>
      </c>
      <c r="G24" s="987"/>
      <c r="H24" s="988">
        <v>1770</v>
      </c>
      <c r="I24" s="989"/>
    </row>
    <row r="25" spans="1:9" ht="28.5" customHeight="1" x14ac:dyDescent="0.2">
      <c r="A25" s="160">
        <v>4</v>
      </c>
      <c r="B25" s="810" t="s">
        <v>329</v>
      </c>
      <c r="C25" s="811"/>
      <c r="D25" s="811"/>
      <c r="E25" s="812"/>
      <c r="F25" s="785" t="str">
        <f>A16</f>
        <v xml:space="preserve">Artífice/Marceneiro de Manutenção </v>
      </c>
      <c r="G25" s="786"/>
      <c r="H25" s="866" t="str">
        <f>A16</f>
        <v xml:space="preserve">Artífice/Marceneiro de Manutenção </v>
      </c>
      <c r="I25" s="867"/>
    </row>
    <row r="26" spans="1:9" ht="16.5" customHeight="1" x14ac:dyDescent="0.2">
      <c r="A26" s="160">
        <v>5</v>
      </c>
      <c r="B26" s="810" t="s">
        <v>1046</v>
      </c>
      <c r="C26" s="811"/>
      <c r="D26" s="811"/>
      <c r="E26" s="812"/>
      <c r="F26" s="835" t="s">
        <v>619</v>
      </c>
      <c r="G26" s="792"/>
      <c r="H26" s="856" t="s">
        <v>1155</v>
      </c>
      <c r="I26" s="857"/>
    </row>
    <row r="27" spans="1:9" x14ac:dyDescent="0.2">
      <c r="A27" s="132"/>
      <c r="B27" s="891" t="s">
        <v>973</v>
      </c>
      <c r="C27" s="892"/>
      <c r="D27" s="892"/>
      <c r="E27" s="892"/>
      <c r="F27" s="283"/>
      <c r="G27" s="316"/>
      <c r="H27" s="435"/>
      <c r="I27" s="423"/>
    </row>
    <row r="28" spans="1:9" x14ac:dyDescent="0.2">
      <c r="A28" s="160">
        <v>1</v>
      </c>
      <c r="B28" s="791" t="s">
        <v>330</v>
      </c>
      <c r="C28" s="792"/>
      <c r="D28" s="792"/>
      <c r="E28" s="809"/>
      <c r="F28" s="284" t="s">
        <v>341</v>
      </c>
      <c r="G28" s="311" t="s">
        <v>331</v>
      </c>
      <c r="H28" s="432" t="s">
        <v>341</v>
      </c>
      <c r="I28" s="401" t="s">
        <v>331</v>
      </c>
    </row>
    <row r="29" spans="1:9" x14ac:dyDescent="0.2">
      <c r="A29" s="160" t="s">
        <v>316</v>
      </c>
      <c r="B29" s="804" t="s">
        <v>590</v>
      </c>
      <c r="C29" s="679"/>
      <c r="D29" s="679"/>
      <c r="E29" s="680"/>
      <c r="F29" s="286">
        <v>1</v>
      </c>
      <c r="G29" s="327">
        <f>F24</f>
        <v>1706.8</v>
      </c>
      <c r="H29" s="436">
        <v>1</v>
      </c>
      <c r="I29" s="414">
        <f>H24</f>
        <v>1770</v>
      </c>
    </row>
    <row r="30" spans="1:9" x14ac:dyDescent="0.2">
      <c r="A30" s="160" t="s">
        <v>318</v>
      </c>
      <c r="B30" s="804" t="s">
        <v>937</v>
      </c>
      <c r="C30" s="679"/>
      <c r="D30" s="679"/>
      <c r="E30" s="680"/>
      <c r="F30" s="286">
        <v>0</v>
      </c>
      <c r="G30" s="319">
        <f>G29*F30</f>
        <v>0</v>
      </c>
      <c r="H30" s="436">
        <v>0</v>
      </c>
      <c r="I30" s="404">
        <f>I29*H30</f>
        <v>0</v>
      </c>
    </row>
    <row r="31" spans="1:9" x14ac:dyDescent="0.2">
      <c r="A31" s="160" t="s">
        <v>321</v>
      </c>
      <c r="B31" s="804" t="s">
        <v>551</v>
      </c>
      <c r="C31" s="679"/>
      <c r="D31" s="679"/>
      <c r="E31" s="680"/>
      <c r="F31" s="286">
        <v>0</v>
      </c>
      <c r="G31" s="319">
        <f t="shared" ref="G31:G33" si="0">G30*F31</f>
        <v>0</v>
      </c>
      <c r="H31" s="436">
        <v>0</v>
      </c>
      <c r="I31" s="404">
        <f t="shared" ref="I31:I33" si="1">I30*H31</f>
        <v>0</v>
      </c>
    </row>
    <row r="32" spans="1:9" x14ac:dyDescent="0.2">
      <c r="A32" s="160" t="s">
        <v>322</v>
      </c>
      <c r="B32" s="804" t="s">
        <v>552</v>
      </c>
      <c r="C32" s="679"/>
      <c r="D32" s="679"/>
      <c r="E32" s="680"/>
      <c r="F32" s="286">
        <v>0</v>
      </c>
      <c r="G32" s="319">
        <f t="shared" si="0"/>
        <v>0</v>
      </c>
      <c r="H32" s="436">
        <v>0</v>
      </c>
      <c r="I32" s="404">
        <f t="shared" si="1"/>
        <v>0</v>
      </c>
    </row>
    <row r="33" spans="1:9" x14ac:dyDescent="0.2">
      <c r="A33" s="160" t="s">
        <v>333</v>
      </c>
      <c r="B33" s="804" t="s">
        <v>553</v>
      </c>
      <c r="C33" s="679"/>
      <c r="D33" s="679"/>
      <c r="E33" s="680"/>
      <c r="F33" s="286">
        <v>0</v>
      </c>
      <c r="G33" s="319">
        <f t="shared" si="0"/>
        <v>0</v>
      </c>
      <c r="H33" s="436">
        <v>0</v>
      </c>
      <c r="I33" s="404">
        <f t="shared" si="1"/>
        <v>0</v>
      </c>
    </row>
    <row r="34" spans="1:9" x14ac:dyDescent="0.2">
      <c r="A34" s="160" t="s">
        <v>334</v>
      </c>
      <c r="B34" s="804" t="s">
        <v>880</v>
      </c>
      <c r="C34" s="679"/>
      <c r="D34" s="679"/>
      <c r="E34" s="680"/>
      <c r="F34" s="286">
        <v>0</v>
      </c>
      <c r="G34" s="319">
        <v>0</v>
      </c>
      <c r="H34" s="436">
        <v>0</v>
      </c>
      <c r="I34" s="404">
        <v>0</v>
      </c>
    </row>
    <row r="35" spans="1:9" x14ac:dyDescent="0.2">
      <c r="A35" s="155"/>
      <c r="B35" s="752" t="s">
        <v>337</v>
      </c>
      <c r="C35" s="781"/>
      <c r="D35" s="781"/>
      <c r="E35" s="781"/>
      <c r="F35" s="287">
        <f>SUM(F29:F34)</f>
        <v>1</v>
      </c>
      <c r="G35" s="317">
        <f>SUM(G29:G34)</f>
        <v>1706.8</v>
      </c>
      <c r="H35" s="437">
        <f>SUM(H29:H34)</f>
        <v>1</v>
      </c>
      <c r="I35" s="403">
        <f>SUM(I29:I34)</f>
        <v>1770</v>
      </c>
    </row>
    <row r="36" spans="1:9" x14ac:dyDescent="0.2">
      <c r="A36" s="978" t="s">
        <v>1066</v>
      </c>
      <c r="B36" s="979"/>
      <c r="C36" s="979"/>
      <c r="D36" s="979"/>
      <c r="E36" s="979"/>
      <c r="F36" s="979"/>
      <c r="G36" s="979"/>
      <c r="H36" s="1001"/>
      <c r="I36" s="1002"/>
    </row>
    <row r="37" spans="1:9" x14ac:dyDescent="0.2">
      <c r="A37" s="775"/>
      <c r="B37" s="776"/>
      <c r="C37" s="776"/>
      <c r="D37" s="776"/>
      <c r="E37" s="776"/>
      <c r="F37" s="776"/>
      <c r="G37" s="776"/>
      <c r="H37" s="974"/>
      <c r="I37" s="975"/>
    </row>
    <row r="38" spans="1:9" x14ac:dyDescent="0.2">
      <c r="A38" s="132"/>
      <c r="B38" s="752" t="s">
        <v>555</v>
      </c>
      <c r="C38" s="781"/>
      <c r="D38" s="781"/>
      <c r="E38" s="781"/>
      <c r="F38" s="283"/>
      <c r="G38" s="320"/>
      <c r="H38" s="435"/>
      <c r="I38" s="424"/>
    </row>
    <row r="39" spans="1:9" x14ac:dyDescent="0.2">
      <c r="A39" s="678" t="s">
        <v>556</v>
      </c>
      <c r="B39" s="793"/>
      <c r="C39" s="793"/>
      <c r="D39" s="793"/>
      <c r="E39" s="793"/>
      <c r="F39" s="793"/>
      <c r="G39" s="793"/>
      <c r="H39" s="387"/>
      <c r="I39" s="408"/>
    </row>
    <row r="40" spans="1:9" x14ac:dyDescent="0.2">
      <c r="A40" s="160" t="s">
        <v>557</v>
      </c>
      <c r="B40" s="791" t="s">
        <v>558</v>
      </c>
      <c r="C40" s="792"/>
      <c r="D40" s="792"/>
      <c r="E40" s="792"/>
      <c r="F40" s="809"/>
      <c r="G40" s="311" t="s">
        <v>331</v>
      </c>
      <c r="H40" s="380"/>
      <c r="I40" s="401" t="s">
        <v>331</v>
      </c>
    </row>
    <row r="41" spans="1:9" x14ac:dyDescent="0.2">
      <c r="A41" s="160" t="s">
        <v>316</v>
      </c>
      <c r="B41" s="804" t="s">
        <v>559</v>
      </c>
      <c r="C41" s="679"/>
      <c r="D41" s="679"/>
      <c r="E41" s="680"/>
      <c r="F41" s="288">
        <v>8.3299999999999999E-2</v>
      </c>
      <c r="G41" s="319">
        <f>F41*G35</f>
        <v>142.17643999999999</v>
      </c>
      <c r="H41" s="434">
        <v>8.3299999999999999E-2</v>
      </c>
      <c r="I41" s="404">
        <f>H41*I35</f>
        <v>147.441</v>
      </c>
    </row>
    <row r="42" spans="1:9" x14ac:dyDescent="0.2">
      <c r="A42" s="160" t="s">
        <v>318</v>
      </c>
      <c r="B42" s="804" t="s">
        <v>607</v>
      </c>
      <c r="C42" s="679"/>
      <c r="D42" s="679"/>
      <c r="E42" s="680"/>
      <c r="F42" s="288">
        <f>8.33%+(8.33%*1/3)</f>
        <v>0.11106666666666666</v>
      </c>
      <c r="G42" s="319">
        <f>F42*G35</f>
        <v>189.56858666666665</v>
      </c>
      <c r="H42" s="434">
        <f>8.33%+(8.33%*1/3)</f>
        <v>0.11106666666666666</v>
      </c>
      <c r="I42" s="404">
        <f>H42*I35</f>
        <v>196.58799999999999</v>
      </c>
    </row>
    <row r="43" spans="1:9" x14ac:dyDescent="0.2">
      <c r="A43" s="157"/>
      <c r="B43" s="752" t="s">
        <v>352</v>
      </c>
      <c r="C43" s="781"/>
      <c r="D43" s="781"/>
      <c r="E43" s="788"/>
      <c r="F43" s="289">
        <f>SUM(F41:F42)</f>
        <v>0.19436666666666666</v>
      </c>
      <c r="G43" s="317">
        <f>SUM(G41:G42)</f>
        <v>331.7450266666666</v>
      </c>
      <c r="H43" s="438">
        <f>SUM(H41:H42)</f>
        <v>0.19436666666666666</v>
      </c>
      <c r="I43" s="403">
        <f>SUM(I41:I42)</f>
        <v>344.029</v>
      </c>
    </row>
    <row r="44" spans="1:9" ht="24.75" customHeight="1" x14ac:dyDescent="0.2">
      <c r="A44" s="972" t="s">
        <v>1052</v>
      </c>
      <c r="B44" s="973"/>
      <c r="C44" s="973"/>
      <c r="D44" s="973"/>
      <c r="E44" s="973"/>
      <c r="F44" s="973"/>
      <c r="G44" s="973"/>
      <c r="H44" s="974"/>
      <c r="I44" s="975"/>
    </row>
    <row r="45" spans="1:9" ht="17.25" customHeight="1" x14ac:dyDescent="0.2">
      <c r="A45" s="972" t="s">
        <v>1053</v>
      </c>
      <c r="B45" s="973"/>
      <c r="C45" s="973"/>
      <c r="D45" s="973"/>
      <c r="E45" s="973"/>
      <c r="F45" s="973"/>
      <c r="G45" s="973"/>
      <c r="H45" s="974"/>
      <c r="I45" s="975"/>
    </row>
    <row r="46" spans="1:9" ht="22.5" customHeight="1" x14ac:dyDescent="0.2">
      <c r="A46" s="1000" t="s">
        <v>1054</v>
      </c>
      <c r="B46" s="1000"/>
      <c r="C46" s="1000"/>
      <c r="D46" s="1000"/>
      <c r="E46" s="1000"/>
      <c r="F46" s="1000"/>
      <c r="G46" s="1000"/>
      <c r="H46" s="974"/>
      <c r="I46" s="975"/>
    </row>
    <row r="47" spans="1:9" x14ac:dyDescent="0.2">
      <c r="A47" s="158"/>
      <c r="B47" s="77"/>
      <c r="C47" s="77"/>
      <c r="D47" s="77"/>
      <c r="E47" s="77"/>
      <c r="F47" s="290"/>
      <c r="G47" s="307"/>
      <c r="H47" s="974"/>
      <c r="I47" s="975"/>
    </row>
    <row r="48" spans="1:9" x14ac:dyDescent="0.2">
      <c r="A48" s="678" t="s">
        <v>560</v>
      </c>
      <c r="B48" s="793"/>
      <c r="C48" s="793"/>
      <c r="D48" s="793"/>
      <c r="E48" s="793"/>
      <c r="F48" s="793"/>
      <c r="G48" s="793"/>
      <c r="H48" s="970"/>
      <c r="I48" s="971"/>
    </row>
    <row r="49" spans="1:10" ht="24" x14ac:dyDescent="0.2">
      <c r="A49" s="160" t="s">
        <v>561</v>
      </c>
      <c r="B49" s="791" t="s">
        <v>562</v>
      </c>
      <c r="C49" s="776"/>
      <c r="D49" s="776"/>
      <c r="E49" s="893"/>
      <c r="F49" s="288" t="s">
        <v>563</v>
      </c>
      <c r="G49" s="311" t="s">
        <v>331</v>
      </c>
      <c r="H49" s="434" t="s">
        <v>563</v>
      </c>
      <c r="I49" s="401" t="s">
        <v>331</v>
      </c>
    </row>
    <row r="50" spans="1:10" x14ac:dyDescent="0.2">
      <c r="A50" s="160" t="s">
        <v>316</v>
      </c>
      <c r="B50" s="804" t="s">
        <v>342</v>
      </c>
      <c r="C50" s="679"/>
      <c r="D50" s="679"/>
      <c r="E50" s="680"/>
      <c r="F50" s="291"/>
      <c r="G50" s="321">
        <f>F50*(G35+G43+G117)</f>
        <v>0</v>
      </c>
      <c r="H50" s="434"/>
      <c r="I50" s="409">
        <f>H50*(I35+I43+I117)</f>
        <v>0</v>
      </c>
    </row>
    <row r="51" spans="1:10" x14ac:dyDescent="0.2">
      <c r="A51" s="160" t="s">
        <v>318</v>
      </c>
      <c r="B51" s="804" t="s">
        <v>564</v>
      </c>
      <c r="C51" s="679"/>
      <c r="D51" s="679"/>
      <c r="E51" s="680"/>
      <c r="F51" s="291">
        <v>2.5000000000000001E-2</v>
      </c>
      <c r="G51" s="321">
        <f>F51*(G35+G43+G117)</f>
        <v>52.318635222222227</v>
      </c>
      <c r="H51" s="434">
        <v>2.5000000000000001E-2</v>
      </c>
      <c r="I51" s="409">
        <f>H51*(I35+I43+I117)</f>
        <v>54.255908333333338</v>
      </c>
    </row>
    <row r="52" spans="1:10" x14ac:dyDescent="0.2">
      <c r="A52" s="160" t="s">
        <v>321</v>
      </c>
      <c r="B52" s="804" t="s">
        <v>565</v>
      </c>
      <c r="C52" s="679"/>
      <c r="D52" s="679"/>
      <c r="E52" s="680"/>
      <c r="F52" s="291">
        <v>2.7900000000000001E-2</v>
      </c>
      <c r="G52" s="321">
        <f>F52*(G35+G43+G117)</f>
        <v>58.387596908000006</v>
      </c>
      <c r="H52" s="196">
        <v>2.76E-2</v>
      </c>
      <c r="I52" s="506">
        <f>H52*(I35+I43+I117)</f>
        <v>59.898522799999995</v>
      </c>
      <c r="J52" s="504"/>
    </row>
    <row r="53" spans="1:10" x14ac:dyDescent="0.2">
      <c r="A53" s="160" t="s">
        <v>322</v>
      </c>
      <c r="B53" s="804" t="s">
        <v>566</v>
      </c>
      <c r="C53" s="679"/>
      <c r="D53" s="679"/>
      <c r="E53" s="680"/>
      <c r="F53" s="291">
        <v>1.4999999999999999E-2</v>
      </c>
      <c r="G53" s="321">
        <f>F53*(G35+G43+G117)</f>
        <v>31.391181133333333</v>
      </c>
      <c r="H53" s="434">
        <v>1.4999999999999999E-2</v>
      </c>
      <c r="I53" s="409">
        <f>H53*(I35+I43+I117)</f>
        <v>32.553545</v>
      </c>
    </row>
    <row r="54" spans="1:10" x14ac:dyDescent="0.2">
      <c r="A54" s="160" t="s">
        <v>333</v>
      </c>
      <c r="B54" s="804" t="s">
        <v>343</v>
      </c>
      <c r="C54" s="679"/>
      <c r="D54" s="679"/>
      <c r="E54" s="680"/>
      <c r="F54" s="291">
        <v>0.01</v>
      </c>
      <c r="G54" s="321">
        <f>F54*(G35+G43+G117)</f>
        <v>20.92745408888889</v>
      </c>
      <c r="H54" s="434">
        <v>0.01</v>
      </c>
      <c r="I54" s="409">
        <f>H54*(I35+I43+I117)</f>
        <v>21.702363333333334</v>
      </c>
    </row>
    <row r="55" spans="1:10" x14ac:dyDescent="0.2">
      <c r="A55" s="160" t="s">
        <v>334</v>
      </c>
      <c r="B55" s="804" t="s">
        <v>346</v>
      </c>
      <c r="C55" s="679"/>
      <c r="D55" s="679"/>
      <c r="E55" s="680"/>
      <c r="F55" s="291">
        <v>6.0000000000000001E-3</v>
      </c>
      <c r="G55" s="321">
        <f>F55*(G35+G43+G117)</f>
        <v>12.556472453333335</v>
      </c>
      <c r="H55" s="434">
        <v>6.0000000000000001E-3</v>
      </c>
      <c r="I55" s="409">
        <f>H55*(I35+I43+I117)</f>
        <v>13.021418000000001</v>
      </c>
    </row>
    <row r="56" spans="1:10" x14ac:dyDescent="0.2">
      <c r="A56" s="160" t="s">
        <v>335</v>
      </c>
      <c r="B56" s="804" t="s">
        <v>344</v>
      </c>
      <c r="C56" s="679"/>
      <c r="D56" s="679"/>
      <c r="E56" s="680"/>
      <c r="F56" s="291">
        <v>2E-3</v>
      </c>
      <c r="G56" s="321">
        <f>F56*(G35+G43+G117)</f>
        <v>4.1854908177777777</v>
      </c>
      <c r="H56" s="434">
        <v>2E-3</v>
      </c>
      <c r="I56" s="409">
        <f>H56*(I35+I43+I117)</f>
        <v>4.3404726666666669</v>
      </c>
    </row>
    <row r="57" spans="1:10" x14ac:dyDescent="0.2">
      <c r="A57" s="160" t="s">
        <v>336</v>
      </c>
      <c r="B57" s="804" t="s">
        <v>345</v>
      </c>
      <c r="C57" s="679"/>
      <c r="D57" s="679"/>
      <c r="E57" s="680"/>
      <c r="F57" s="291">
        <v>0.08</v>
      </c>
      <c r="G57" s="321">
        <f>F57*(G35+G43+G117)</f>
        <v>167.41963271111112</v>
      </c>
      <c r="H57" s="434">
        <v>0.08</v>
      </c>
      <c r="I57" s="409">
        <f>H57*(I35+I43+I117)</f>
        <v>173.61890666666667</v>
      </c>
    </row>
    <row r="58" spans="1:10" x14ac:dyDescent="0.2">
      <c r="A58" s="157"/>
      <c r="B58" s="752" t="s">
        <v>352</v>
      </c>
      <c r="C58" s="781"/>
      <c r="D58" s="781"/>
      <c r="E58" s="788"/>
      <c r="F58" s="289">
        <f>SUM(F50:F57)</f>
        <v>0.16589999999999999</v>
      </c>
      <c r="G58" s="322">
        <f>SUM(G50:G57)</f>
        <v>347.18646333466666</v>
      </c>
      <c r="H58" s="438">
        <f>SUM(H50:H57)</f>
        <v>0.1656</v>
      </c>
      <c r="I58" s="410">
        <f>SUM(I50:I57)</f>
        <v>359.39113680000003</v>
      </c>
    </row>
    <row r="59" spans="1:10" x14ac:dyDescent="0.2">
      <c r="A59" s="972" t="s">
        <v>1055</v>
      </c>
      <c r="B59" s="973"/>
      <c r="C59" s="973"/>
      <c r="D59" s="973"/>
      <c r="E59" s="973"/>
      <c r="F59" s="973"/>
      <c r="G59" s="973"/>
      <c r="H59" s="974"/>
      <c r="I59" s="975"/>
    </row>
    <row r="60" spans="1:10" ht="14.25" customHeight="1" x14ac:dyDescent="0.2">
      <c r="A60" s="972" t="s">
        <v>1056</v>
      </c>
      <c r="B60" s="973"/>
      <c r="C60" s="973"/>
      <c r="D60" s="973"/>
      <c r="E60" s="973"/>
      <c r="F60" s="973"/>
      <c r="G60" s="973"/>
      <c r="H60" s="974"/>
      <c r="I60" s="975"/>
    </row>
    <row r="61" spans="1:10" ht="15.75" customHeight="1" x14ac:dyDescent="0.2">
      <c r="A61" s="976" t="s">
        <v>936</v>
      </c>
      <c r="B61" s="977"/>
      <c r="C61" s="977"/>
      <c r="D61" s="977"/>
      <c r="E61" s="977"/>
      <c r="F61" s="977"/>
      <c r="G61" s="977"/>
      <c r="H61" s="974"/>
      <c r="I61" s="975"/>
    </row>
    <row r="62" spans="1:10" x14ac:dyDescent="0.2">
      <c r="A62" s="156"/>
      <c r="B62" s="79"/>
      <c r="C62" s="77"/>
      <c r="D62" s="77"/>
      <c r="E62" s="77"/>
      <c r="F62" s="291"/>
      <c r="G62" s="312"/>
      <c r="H62" s="974"/>
      <c r="I62" s="975"/>
    </row>
    <row r="63" spans="1:10" x14ac:dyDescent="0.2">
      <c r="A63" s="678" t="s">
        <v>567</v>
      </c>
      <c r="B63" s="793"/>
      <c r="C63" s="793"/>
      <c r="D63" s="793"/>
      <c r="E63" s="793"/>
      <c r="F63" s="793"/>
      <c r="G63" s="793"/>
      <c r="H63" s="974"/>
      <c r="I63" s="975"/>
    </row>
    <row r="64" spans="1:10" x14ac:dyDescent="0.2">
      <c r="A64" s="160" t="s">
        <v>568</v>
      </c>
      <c r="B64" s="820" t="s">
        <v>569</v>
      </c>
      <c r="C64" s="820"/>
      <c r="D64" s="820"/>
      <c r="E64" s="820"/>
      <c r="F64" s="820"/>
      <c r="G64" s="311" t="s">
        <v>331</v>
      </c>
      <c r="H64" s="380"/>
      <c r="I64" s="401" t="s">
        <v>331</v>
      </c>
    </row>
    <row r="65" spans="1:9" ht="26.25" customHeight="1" x14ac:dyDescent="0.2">
      <c r="A65" s="160" t="s">
        <v>316</v>
      </c>
      <c r="B65" s="804" t="s">
        <v>1067</v>
      </c>
      <c r="C65" s="679"/>
      <c r="D65" s="679"/>
      <c r="E65" s="679"/>
      <c r="F65" s="680"/>
      <c r="G65" s="319">
        <f>((5+2.5)*2*21.5)-6%*G29</f>
        <v>220.09200000000001</v>
      </c>
      <c r="H65" s="388"/>
      <c r="I65" s="404">
        <f>((5+2.5)*2*21.5)-6%*I29</f>
        <v>216.3</v>
      </c>
    </row>
    <row r="66" spans="1:9" ht="26.25" customHeight="1" x14ac:dyDescent="0.2">
      <c r="A66" s="160" t="s">
        <v>318</v>
      </c>
      <c r="B66" s="804" t="s">
        <v>1068</v>
      </c>
      <c r="C66" s="679"/>
      <c r="D66" s="679"/>
      <c r="E66" s="679"/>
      <c r="F66" s="680"/>
      <c r="G66" s="319">
        <f>31.5*21.5</f>
        <v>677.25</v>
      </c>
      <c r="H66" s="388"/>
      <c r="I66" s="404">
        <f>32.7*21.5</f>
        <v>703.05000000000007</v>
      </c>
    </row>
    <row r="67" spans="1:9" x14ac:dyDescent="0.2">
      <c r="A67" s="160" t="s">
        <v>321</v>
      </c>
      <c r="B67" s="804" t="s">
        <v>963</v>
      </c>
      <c r="C67" s="679"/>
      <c r="D67" s="679"/>
      <c r="E67" s="679"/>
      <c r="F67" s="680"/>
      <c r="G67" s="319">
        <v>0</v>
      </c>
      <c r="H67" s="388"/>
      <c r="I67" s="404">
        <v>0</v>
      </c>
    </row>
    <row r="68" spans="1:9" x14ac:dyDescent="0.2">
      <c r="A68" s="160" t="s">
        <v>322</v>
      </c>
      <c r="B68" s="678" t="s">
        <v>930</v>
      </c>
      <c r="C68" s="679"/>
      <c r="D68" s="679"/>
      <c r="E68" s="679"/>
      <c r="F68" s="680"/>
      <c r="G68" s="319">
        <v>0</v>
      </c>
      <c r="H68" s="388"/>
      <c r="I68" s="404">
        <v>0</v>
      </c>
    </row>
    <row r="69" spans="1:9" x14ac:dyDescent="0.2">
      <c r="A69" s="160" t="s">
        <v>333</v>
      </c>
      <c r="B69" s="678" t="s">
        <v>933</v>
      </c>
      <c r="C69" s="793"/>
      <c r="D69" s="793"/>
      <c r="E69" s="793"/>
      <c r="F69" s="818"/>
      <c r="G69" s="319"/>
      <c r="H69" s="388"/>
      <c r="I69" s="404"/>
    </row>
    <row r="70" spans="1:9" x14ac:dyDescent="0.2">
      <c r="A70" s="160" t="s">
        <v>334</v>
      </c>
      <c r="B70" s="678" t="s">
        <v>932</v>
      </c>
      <c r="C70" s="679"/>
      <c r="D70" s="679"/>
      <c r="E70" s="679"/>
      <c r="F70" s="680"/>
      <c r="G70" s="319">
        <v>0</v>
      </c>
      <c r="H70" s="388"/>
      <c r="I70" s="404">
        <v>10.65</v>
      </c>
    </row>
    <row r="71" spans="1:9" x14ac:dyDescent="0.2">
      <c r="A71" s="160" t="s">
        <v>335</v>
      </c>
      <c r="B71" s="678" t="s">
        <v>931</v>
      </c>
      <c r="C71" s="679"/>
      <c r="D71" s="679"/>
      <c r="E71" s="679"/>
      <c r="F71" s="680"/>
      <c r="G71" s="319">
        <v>0</v>
      </c>
      <c r="H71" s="388"/>
      <c r="I71" s="404">
        <v>0</v>
      </c>
    </row>
    <row r="72" spans="1:9" x14ac:dyDescent="0.2">
      <c r="A72" s="155"/>
      <c r="B72" s="752" t="s">
        <v>352</v>
      </c>
      <c r="C72" s="781"/>
      <c r="D72" s="781"/>
      <c r="E72" s="781"/>
      <c r="F72" s="788"/>
      <c r="G72" s="317">
        <f>SUM(G65:G70)</f>
        <v>897.34199999999998</v>
      </c>
      <c r="H72" s="389"/>
      <c r="I72" s="403">
        <f>SUM(I65:I70)</f>
        <v>930.00000000000011</v>
      </c>
    </row>
    <row r="73" spans="1:9" ht="16.5" customHeight="1" x14ac:dyDescent="0.2">
      <c r="A73" s="972" t="s">
        <v>1057</v>
      </c>
      <c r="B73" s="973"/>
      <c r="C73" s="973"/>
      <c r="D73" s="973"/>
      <c r="E73" s="973"/>
      <c r="F73" s="973"/>
      <c r="G73" s="973"/>
      <c r="H73" s="974"/>
      <c r="I73" s="975"/>
    </row>
    <row r="74" spans="1:9" ht="16.5" customHeight="1" x14ac:dyDescent="0.2">
      <c r="A74" s="972" t="s">
        <v>1063</v>
      </c>
      <c r="B74" s="973"/>
      <c r="C74" s="973"/>
      <c r="D74" s="973"/>
      <c r="E74" s="973"/>
      <c r="F74" s="973"/>
      <c r="G74" s="973"/>
      <c r="H74" s="974"/>
      <c r="I74" s="975"/>
    </row>
    <row r="75" spans="1:9" x14ac:dyDescent="0.2">
      <c r="A75" s="158"/>
      <c r="B75" s="77"/>
      <c r="C75" s="77"/>
      <c r="D75" s="77"/>
      <c r="E75" s="77"/>
      <c r="F75" s="290"/>
      <c r="G75" s="307"/>
      <c r="H75" s="974"/>
      <c r="I75" s="975"/>
    </row>
    <row r="76" spans="1:9" x14ac:dyDescent="0.2">
      <c r="A76" s="157"/>
      <c r="B76" s="752" t="s">
        <v>895</v>
      </c>
      <c r="C76" s="781"/>
      <c r="D76" s="781"/>
      <c r="E76" s="781"/>
      <c r="F76" s="781"/>
      <c r="G76" s="320"/>
      <c r="H76" s="419"/>
      <c r="I76" s="424"/>
    </row>
    <row r="77" spans="1:9" x14ac:dyDescent="0.2">
      <c r="A77" s="160">
        <v>2</v>
      </c>
      <c r="B77" s="820" t="s">
        <v>571</v>
      </c>
      <c r="C77" s="820"/>
      <c r="D77" s="820"/>
      <c r="E77" s="820"/>
      <c r="F77" s="820"/>
      <c r="G77" s="311" t="s">
        <v>331</v>
      </c>
      <c r="H77" s="380"/>
      <c r="I77" s="401" t="s">
        <v>331</v>
      </c>
    </row>
    <row r="78" spans="1:9" x14ac:dyDescent="0.2">
      <c r="A78" s="160" t="s">
        <v>557</v>
      </c>
      <c r="B78" s="819" t="s">
        <v>572</v>
      </c>
      <c r="C78" s="819"/>
      <c r="D78" s="819"/>
      <c r="E78" s="819"/>
      <c r="F78" s="819"/>
      <c r="G78" s="319">
        <f>G43</f>
        <v>331.7450266666666</v>
      </c>
      <c r="H78" s="388"/>
      <c r="I78" s="404">
        <f>I43</f>
        <v>344.029</v>
      </c>
    </row>
    <row r="79" spans="1:9" x14ac:dyDescent="0.2">
      <c r="A79" s="160" t="s">
        <v>561</v>
      </c>
      <c r="B79" s="819" t="s">
        <v>562</v>
      </c>
      <c r="C79" s="819"/>
      <c r="D79" s="819"/>
      <c r="E79" s="819"/>
      <c r="F79" s="819"/>
      <c r="G79" s="319">
        <f>G58</f>
        <v>347.18646333466666</v>
      </c>
      <c r="H79" s="388"/>
      <c r="I79" s="404">
        <f>I58</f>
        <v>359.39113680000003</v>
      </c>
    </row>
    <row r="80" spans="1:9" x14ac:dyDescent="0.2">
      <c r="A80" s="160" t="s">
        <v>568</v>
      </c>
      <c r="B80" s="819" t="s">
        <v>569</v>
      </c>
      <c r="C80" s="819"/>
      <c r="D80" s="819"/>
      <c r="E80" s="819"/>
      <c r="F80" s="819"/>
      <c r="G80" s="319">
        <f>G72</f>
        <v>897.34199999999998</v>
      </c>
      <c r="H80" s="388"/>
      <c r="I80" s="404">
        <f>I72</f>
        <v>930.00000000000011</v>
      </c>
    </row>
    <row r="81" spans="1:9" x14ac:dyDescent="0.2">
      <c r="A81" s="81"/>
      <c r="B81" s="756" t="s">
        <v>352</v>
      </c>
      <c r="C81" s="840"/>
      <c r="D81" s="840"/>
      <c r="E81" s="840"/>
      <c r="F81" s="841"/>
      <c r="G81" s="332">
        <f>SUM(G78:G80)</f>
        <v>1576.2734900013334</v>
      </c>
      <c r="H81" s="446"/>
      <c r="I81" s="449">
        <f>SUM(I78:I80)</f>
        <v>1633.4201368000001</v>
      </c>
    </row>
    <row r="82" spans="1:9" x14ac:dyDescent="0.2">
      <c r="A82" s="838"/>
      <c r="B82" s="839"/>
      <c r="C82" s="839"/>
      <c r="D82" s="839"/>
      <c r="E82" s="839"/>
      <c r="F82" s="839"/>
      <c r="G82" s="839"/>
      <c r="H82" s="968"/>
      <c r="I82" s="969"/>
    </row>
    <row r="83" spans="1:9" x14ac:dyDescent="0.2">
      <c r="A83" s="132"/>
      <c r="B83" s="752" t="s">
        <v>885</v>
      </c>
      <c r="C83" s="781"/>
      <c r="D83" s="781"/>
      <c r="E83" s="781"/>
      <c r="F83" s="283"/>
      <c r="G83" s="320"/>
      <c r="H83" s="435"/>
      <c r="I83" s="424"/>
    </row>
    <row r="84" spans="1:9" ht="24" x14ac:dyDescent="0.2">
      <c r="A84" s="160">
        <v>3</v>
      </c>
      <c r="B84" s="791" t="s">
        <v>348</v>
      </c>
      <c r="C84" s="792"/>
      <c r="D84" s="792"/>
      <c r="E84" s="809"/>
      <c r="F84" s="288" t="s">
        <v>563</v>
      </c>
      <c r="G84" s="311" t="s">
        <v>331</v>
      </c>
      <c r="H84" s="434" t="s">
        <v>563</v>
      </c>
      <c r="I84" s="401" t="s">
        <v>331</v>
      </c>
    </row>
    <row r="85" spans="1:9" x14ac:dyDescent="0.2">
      <c r="A85" s="156" t="s">
        <v>316</v>
      </c>
      <c r="B85" s="804" t="s">
        <v>989</v>
      </c>
      <c r="C85" s="679"/>
      <c r="D85" s="679"/>
      <c r="E85" s="680"/>
      <c r="F85" s="292">
        <v>4.1700000000000001E-3</v>
      </c>
      <c r="G85" s="319">
        <f>F85*(G35+G43)</f>
        <v>8.5007327612000001</v>
      </c>
      <c r="H85" s="441">
        <v>4.1700000000000001E-3</v>
      </c>
      <c r="I85" s="404">
        <f>H85*(I35+I43)</f>
        <v>8.8155009300000007</v>
      </c>
    </row>
    <row r="86" spans="1:9" x14ac:dyDescent="0.2">
      <c r="A86" s="156" t="s">
        <v>318</v>
      </c>
      <c r="B86" s="804" t="s">
        <v>573</v>
      </c>
      <c r="C86" s="679"/>
      <c r="D86" s="679"/>
      <c r="E86" s="680"/>
      <c r="F86" s="292">
        <f>F57*F85</f>
        <v>3.3360000000000003E-4</v>
      </c>
      <c r="G86" s="319">
        <f>F86*(G35+G43)</f>
        <v>0.68005862089600011</v>
      </c>
      <c r="H86" s="441">
        <f>H57*H85</f>
        <v>3.3360000000000003E-4</v>
      </c>
      <c r="I86" s="404">
        <f>H86*(I35+I43)</f>
        <v>0.70524007440000003</v>
      </c>
    </row>
    <row r="87" spans="1:9" x14ac:dyDescent="0.2">
      <c r="A87" s="160" t="s">
        <v>321</v>
      </c>
      <c r="B87" s="804" t="s">
        <v>977</v>
      </c>
      <c r="C87" s="679"/>
      <c r="D87" s="679"/>
      <c r="E87" s="680"/>
      <c r="F87" s="292">
        <f xml:space="preserve"> (40%+10%)*F85</f>
        <v>2.085E-3</v>
      </c>
      <c r="G87" s="319">
        <f>F87*(G35+G43)</f>
        <v>4.2503663806</v>
      </c>
      <c r="H87" s="441">
        <f xml:space="preserve"> (40%+10%)*H85</f>
        <v>2.085E-3</v>
      </c>
      <c r="I87" s="404">
        <f>H87*(I35+I43)</f>
        <v>4.4077504650000003</v>
      </c>
    </row>
    <row r="88" spans="1:9" ht="28.5" customHeight="1" x14ac:dyDescent="0.2">
      <c r="A88" s="160" t="s">
        <v>322</v>
      </c>
      <c r="B88" s="804" t="s">
        <v>1071</v>
      </c>
      <c r="C88" s="679"/>
      <c r="D88" s="679"/>
      <c r="E88" s="680"/>
      <c r="F88" s="292">
        <f>(7/30)/12</f>
        <v>1.9444444444444445E-2</v>
      </c>
      <c r="G88" s="319">
        <f>F88*($G$35+$G$43)</f>
        <v>39.638375518518522</v>
      </c>
      <c r="H88" s="441">
        <f>(7/30)/12</f>
        <v>1.9444444444444445E-2</v>
      </c>
      <c r="I88" s="404">
        <f>H88*($I$35+$I$43)</f>
        <v>41.106119444444445</v>
      </c>
    </row>
    <row r="89" spans="1:9" ht="26.25" customHeight="1" x14ac:dyDescent="0.2">
      <c r="A89" s="155" t="s">
        <v>333</v>
      </c>
      <c r="B89" s="804" t="s">
        <v>1070</v>
      </c>
      <c r="C89" s="679"/>
      <c r="D89" s="679"/>
      <c r="E89" s="680"/>
      <c r="F89" s="292">
        <f>F58*F88</f>
        <v>3.2258333333333332E-3</v>
      </c>
      <c r="G89" s="319">
        <f>F89*(G35+G43)</f>
        <v>6.5760064985222222</v>
      </c>
      <c r="H89" s="441">
        <f>H58*H88</f>
        <v>3.2200000000000002E-3</v>
      </c>
      <c r="I89" s="404">
        <f>H89*(I35+I43)</f>
        <v>6.8071733800000001</v>
      </c>
    </row>
    <row r="90" spans="1:9" ht="24.75" customHeight="1" x14ac:dyDescent="0.2">
      <c r="A90" s="160" t="s">
        <v>334</v>
      </c>
      <c r="B90" s="804" t="s">
        <v>1069</v>
      </c>
      <c r="C90" s="679"/>
      <c r="D90" s="679"/>
      <c r="E90" s="680"/>
      <c r="F90" s="288">
        <f>50%*F88</f>
        <v>9.7222222222222224E-3</v>
      </c>
      <c r="G90" s="319">
        <f>F90*($G$35+$G$43)</f>
        <v>19.819187759259261</v>
      </c>
      <c r="H90" s="434">
        <f>50%*H88</f>
        <v>9.7222222222222224E-3</v>
      </c>
      <c r="I90" s="404">
        <f>H90*($I$35+$I$43)</f>
        <v>20.553059722222223</v>
      </c>
    </row>
    <row r="91" spans="1:9" x14ac:dyDescent="0.2">
      <c r="A91" s="157"/>
      <c r="B91" s="752" t="s">
        <v>352</v>
      </c>
      <c r="C91" s="781"/>
      <c r="D91" s="781"/>
      <c r="E91" s="788"/>
      <c r="F91" s="289">
        <f>SUM(F85:F90)</f>
        <v>3.8981100000000005E-2</v>
      </c>
      <c r="G91" s="317">
        <f>SUM(G85:G90)</f>
        <v>79.464727538996001</v>
      </c>
      <c r="H91" s="438">
        <f>SUM(H85:H90)</f>
        <v>3.8975266666666668E-2</v>
      </c>
      <c r="I91" s="403">
        <f>SUM(I85:I90)</f>
        <v>82.394844016066671</v>
      </c>
    </row>
    <row r="92" spans="1:9" x14ac:dyDescent="0.2">
      <c r="A92" s="162"/>
      <c r="B92" s="84"/>
      <c r="C92" s="84"/>
      <c r="D92" s="84"/>
      <c r="E92" s="84"/>
      <c r="F92" s="293"/>
      <c r="G92" s="315"/>
      <c r="H92" s="447"/>
      <c r="I92" s="412"/>
    </row>
    <row r="93" spans="1:9" x14ac:dyDescent="0.2">
      <c r="A93" s="157"/>
      <c r="B93" s="752" t="s">
        <v>897</v>
      </c>
      <c r="C93" s="781"/>
      <c r="D93" s="781"/>
      <c r="E93" s="781"/>
      <c r="F93" s="283"/>
      <c r="G93" s="320"/>
      <c r="H93" s="435"/>
      <c r="I93" s="424"/>
    </row>
    <row r="94" spans="1:9" ht="24" customHeight="1" x14ac:dyDescent="0.2">
      <c r="A94" s="980" t="s">
        <v>1059</v>
      </c>
      <c r="B94" s="973"/>
      <c r="C94" s="973"/>
      <c r="D94" s="973"/>
      <c r="E94" s="973"/>
      <c r="F94" s="973"/>
      <c r="G94" s="973"/>
      <c r="H94" s="974"/>
      <c r="I94" s="975"/>
    </row>
    <row r="95" spans="1:9" x14ac:dyDescent="0.2">
      <c r="A95" s="775"/>
      <c r="B95" s="776"/>
      <c r="C95" s="776"/>
      <c r="D95" s="776"/>
      <c r="E95" s="776"/>
      <c r="F95" s="776"/>
      <c r="G95" s="776"/>
      <c r="H95" s="974"/>
      <c r="I95" s="975"/>
    </row>
    <row r="96" spans="1:9" x14ac:dyDescent="0.2">
      <c r="A96" s="678" t="s">
        <v>902</v>
      </c>
      <c r="B96" s="793"/>
      <c r="C96" s="793"/>
      <c r="D96" s="793"/>
      <c r="E96" s="793"/>
      <c r="F96" s="793"/>
      <c r="G96" s="793"/>
      <c r="H96" s="974"/>
      <c r="I96" s="975"/>
    </row>
    <row r="97" spans="1:9" ht="24" x14ac:dyDescent="0.2">
      <c r="A97" s="156" t="s">
        <v>340</v>
      </c>
      <c r="B97" s="791" t="s">
        <v>908</v>
      </c>
      <c r="C97" s="792"/>
      <c r="D97" s="792"/>
      <c r="E97" s="792"/>
      <c r="F97" s="288" t="s">
        <v>563</v>
      </c>
      <c r="G97" s="311" t="s">
        <v>331</v>
      </c>
      <c r="H97" s="434" t="s">
        <v>563</v>
      </c>
      <c r="I97" s="401" t="s">
        <v>331</v>
      </c>
    </row>
    <row r="98" spans="1:9" x14ac:dyDescent="0.2">
      <c r="A98" s="160" t="s">
        <v>316</v>
      </c>
      <c r="B98" s="804" t="s">
        <v>904</v>
      </c>
      <c r="C98" s="679"/>
      <c r="D98" s="679"/>
      <c r="E98" s="679"/>
      <c r="F98" s="288">
        <f>(8.33%+(8.33%*1/3))/12</f>
        <v>9.2555555555555551E-3</v>
      </c>
      <c r="G98" s="319">
        <f>F98*G35</f>
        <v>15.797382222222222</v>
      </c>
      <c r="H98" s="434">
        <f>(8.33%+(8.33%*1/3))/12</f>
        <v>9.2555555555555551E-3</v>
      </c>
      <c r="I98" s="404">
        <f>H98*I35</f>
        <v>16.382333333333332</v>
      </c>
    </row>
    <row r="99" spans="1:9" x14ac:dyDescent="0.2">
      <c r="A99" s="160" t="s">
        <v>318</v>
      </c>
      <c r="B99" s="804" t="s">
        <v>980</v>
      </c>
      <c r="C99" s="679"/>
      <c r="D99" s="679"/>
      <c r="E99" s="679"/>
      <c r="F99" s="288">
        <f>(1/12)/30</f>
        <v>2.7777777777777775E-3</v>
      </c>
      <c r="G99" s="319">
        <f>F99*G35</f>
        <v>4.7411111111111106</v>
      </c>
      <c r="H99" s="434">
        <f>(1/12)/30</f>
        <v>2.7777777777777775E-3</v>
      </c>
      <c r="I99" s="404">
        <f>H99*I35</f>
        <v>4.9166666666666661</v>
      </c>
    </row>
    <row r="100" spans="1:9" x14ac:dyDescent="0.2">
      <c r="A100" s="160" t="s">
        <v>321</v>
      </c>
      <c r="B100" s="804" t="s">
        <v>981</v>
      </c>
      <c r="C100" s="679"/>
      <c r="D100" s="679"/>
      <c r="E100" s="679"/>
      <c r="F100" s="294">
        <f>1.5%/12</f>
        <v>1.25E-3</v>
      </c>
      <c r="G100" s="319">
        <f>F100*G35</f>
        <v>2.1335000000000002</v>
      </c>
      <c r="H100" s="441">
        <f>1.5%/12</f>
        <v>1.25E-3</v>
      </c>
      <c r="I100" s="404">
        <f>H100*I35</f>
        <v>2.2124999999999999</v>
      </c>
    </row>
    <row r="101" spans="1:9" ht="27" customHeight="1" x14ac:dyDescent="0.2">
      <c r="A101" s="160" t="s">
        <v>322</v>
      </c>
      <c r="B101" s="804" t="s">
        <v>986</v>
      </c>
      <c r="C101" s="679"/>
      <c r="D101" s="679"/>
      <c r="E101" s="679"/>
      <c r="F101" s="292">
        <f>8%/12/2</f>
        <v>3.3333333333333335E-3</v>
      </c>
      <c r="G101" s="319">
        <f>F101*G35</f>
        <v>5.6893333333333338</v>
      </c>
      <c r="H101" s="441">
        <f>8%/12/2</f>
        <v>3.3333333333333335E-3</v>
      </c>
      <c r="I101" s="404">
        <f>H101*I35</f>
        <v>5.9</v>
      </c>
    </row>
    <row r="102" spans="1:9" ht="27" customHeight="1" x14ac:dyDescent="0.2">
      <c r="A102" s="160" t="s">
        <v>333</v>
      </c>
      <c r="B102" s="804" t="s">
        <v>983</v>
      </c>
      <c r="C102" s="679"/>
      <c r="D102" s="679"/>
      <c r="E102" s="679"/>
      <c r="F102" s="295">
        <f>1.5%/12</f>
        <v>1.25E-3</v>
      </c>
      <c r="G102" s="319">
        <f>F102*G35</f>
        <v>2.1335000000000002</v>
      </c>
      <c r="H102" s="442">
        <f>1.5%/12</f>
        <v>1.25E-3</v>
      </c>
      <c r="I102" s="404">
        <f>H102*I35</f>
        <v>2.2124999999999999</v>
      </c>
    </row>
    <row r="103" spans="1:9" x14ac:dyDescent="0.2">
      <c r="A103" s="160" t="s">
        <v>334</v>
      </c>
      <c r="B103" s="804" t="s">
        <v>907</v>
      </c>
      <c r="C103" s="679"/>
      <c r="D103" s="679"/>
      <c r="E103" s="679"/>
      <c r="F103" s="288">
        <f>(5/12)/30</f>
        <v>1.388888888888889E-2</v>
      </c>
      <c r="G103" s="319">
        <f>F103*G35</f>
        <v>23.705555555555556</v>
      </c>
      <c r="H103" s="434">
        <f>(5/12)/30</f>
        <v>1.388888888888889E-2</v>
      </c>
      <c r="I103" s="404">
        <f>H103*I35</f>
        <v>24.583333333333336</v>
      </c>
    </row>
    <row r="104" spans="1:9" x14ac:dyDescent="0.2">
      <c r="A104" s="157"/>
      <c r="B104" s="752" t="s">
        <v>352</v>
      </c>
      <c r="C104" s="781"/>
      <c r="D104" s="781"/>
      <c r="E104" s="788"/>
      <c r="F104" s="289">
        <f>SUM(F98:F103)</f>
        <v>3.1755555555555558E-2</v>
      </c>
      <c r="G104" s="317">
        <f>SUM(G98:G103)</f>
        <v>54.200382222222224</v>
      </c>
      <c r="H104" s="438">
        <f>SUM(H98:H103)</f>
        <v>3.1755555555555558E-2</v>
      </c>
      <c r="I104" s="403">
        <f>SUM(I98:I103)</f>
        <v>56.207333333333331</v>
      </c>
    </row>
    <row r="105" spans="1:9" ht="15" customHeight="1" x14ac:dyDescent="0.2">
      <c r="A105" s="972" t="s">
        <v>1064</v>
      </c>
      <c r="B105" s="973"/>
      <c r="C105" s="973"/>
      <c r="D105" s="973"/>
      <c r="E105" s="973"/>
      <c r="F105" s="973"/>
      <c r="G105" s="973"/>
      <c r="H105" s="448"/>
      <c r="I105" s="407"/>
    </row>
    <row r="106" spans="1:9" x14ac:dyDescent="0.2">
      <c r="A106" s="678"/>
      <c r="B106" s="793"/>
      <c r="C106" s="793"/>
      <c r="D106" s="793"/>
      <c r="E106" s="793"/>
      <c r="F106" s="793"/>
      <c r="G106" s="793"/>
      <c r="H106" s="387"/>
      <c r="I106" s="408"/>
    </row>
    <row r="107" spans="1:9" x14ac:dyDescent="0.2">
      <c r="A107" s="678" t="s">
        <v>911</v>
      </c>
      <c r="B107" s="793"/>
      <c r="C107" s="793"/>
      <c r="D107" s="793"/>
      <c r="E107" s="793"/>
      <c r="F107" s="793"/>
      <c r="G107" s="793"/>
      <c r="H107" s="387"/>
      <c r="I107" s="408"/>
    </row>
    <row r="108" spans="1:9" ht="24" x14ac:dyDescent="0.2">
      <c r="A108" s="160" t="s">
        <v>347</v>
      </c>
      <c r="B108" s="791" t="s">
        <v>912</v>
      </c>
      <c r="C108" s="792"/>
      <c r="D108" s="792"/>
      <c r="E108" s="809"/>
      <c r="F108" s="288" t="s">
        <v>563</v>
      </c>
      <c r="G108" s="311" t="s">
        <v>331</v>
      </c>
      <c r="H108" s="434" t="s">
        <v>563</v>
      </c>
      <c r="I108" s="401" t="s">
        <v>331</v>
      </c>
    </row>
    <row r="109" spans="1:9" x14ac:dyDescent="0.2">
      <c r="A109" s="160" t="s">
        <v>316</v>
      </c>
      <c r="B109" s="804" t="s">
        <v>913</v>
      </c>
      <c r="C109" s="679"/>
      <c r="D109" s="679"/>
      <c r="E109" s="680"/>
      <c r="F109" s="296"/>
      <c r="G109" s="319"/>
      <c r="H109" s="914"/>
      <c r="I109" s="915"/>
    </row>
    <row r="110" spans="1:9" x14ac:dyDescent="0.2">
      <c r="A110" s="157"/>
      <c r="B110" s="752" t="s">
        <v>352</v>
      </c>
      <c r="C110" s="781"/>
      <c r="D110" s="781"/>
      <c r="E110" s="788"/>
      <c r="F110" s="297"/>
      <c r="G110" s="324"/>
      <c r="H110" s="916"/>
      <c r="I110" s="917"/>
    </row>
    <row r="111" spans="1:9" x14ac:dyDescent="0.2">
      <c r="A111" s="972" t="s">
        <v>1065</v>
      </c>
      <c r="B111" s="973"/>
      <c r="C111" s="973"/>
      <c r="D111" s="973"/>
      <c r="E111" s="973"/>
      <c r="F111" s="973"/>
      <c r="G111" s="973"/>
      <c r="H111" s="974"/>
      <c r="I111" s="975"/>
    </row>
    <row r="112" spans="1:9" x14ac:dyDescent="0.2">
      <c r="A112" s="775"/>
      <c r="B112" s="776"/>
      <c r="C112" s="776"/>
      <c r="D112" s="776"/>
      <c r="E112" s="776"/>
      <c r="F112" s="776"/>
      <c r="G112" s="776"/>
      <c r="H112" s="974"/>
      <c r="I112" s="975"/>
    </row>
    <row r="113" spans="1:9" x14ac:dyDescent="0.2">
      <c r="A113" s="132"/>
      <c r="B113" s="752" t="s">
        <v>887</v>
      </c>
      <c r="C113" s="781"/>
      <c r="D113" s="781"/>
      <c r="E113" s="781"/>
      <c r="F113" s="283"/>
      <c r="G113" s="320"/>
      <c r="H113" s="435"/>
      <c r="I113" s="424"/>
    </row>
    <row r="114" spans="1:9" ht="24" x14ac:dyDescent="0.2">
      <c r="A114" s="160">
        <v>4</v>
      </c>
      <c r="B114" s="820" t="s">
        <v>574</v>
      </c>
      <c r="C114" s="820"/>
      <c r="D114" s="820"/>
      <c r="E114" s="820"/>
      <c r="F114" s="288" t="s">
        <v>563</v>
      </c>
      <c r="G114" s="311" t="s">
        <v>331</v>
      </c>
      <c r="H114" s="434" t="s">
        <v>563</v>
      </c>
      <c r="I114" s="401" t="s">
        <v>331</v>
      </c>
    </row>
    <row r="115" spans="1:9" x14ac:dyDescent="0.2">
      <c r="A115" s="160" t="s">
        <v>340</v>
      </c>
      <c r="B115" s="819" t="s">
        <v>908</v>
      </c>
      <c r="C115" s="819"/>
      <c r="D115" s="819"/>
      <c r="E115" s="819"/>
      <c r="F115" s="288">
        <f>F104</f>
        <v>3.1755555555555558E-2</v>
      </c>
      <c r="G115" s="321">
        <f>G104</f>
        <v>54.200382222222224</v>
      </c>
      <c r="H115" s="434">
        <f>H104</f>
        <v>3.1755555555555558E-2</v>
      </c>
      <c r="I115" s="409">
        <f>I104</f>
        <v>56.207333333333331</v>
      </c>
    </row>
    <row r="116" spans="1:9" x14ac:dyDescent="0.2">
      <c r="A116" s="160" t="s">
        <v>347</v>
      </c>
      <c r="B116" s="819" t="s">
        <v>912</v>
      </c>
      <c r="C116" s="819"/>
      <c r="D116" s="819"/>
      <c r="E116" s="819"/>
      <c r="F116" s="288"/>
      <c r="G116" s="325"/>
      <c r="H116" s="918"/>
      <c r="I116" s="919"/>
    </row>
    <row r="117" spans="1:9" x14ac:dyDescent="0.2">
      <c r="A117" s="157"/>
      <c r="B117" s="752" t="s">
        <v>352</v>
      </c>
      <c r="C117" s="781"/>
      <c r="D117" s="781"/>
      <c r="E117" s="788"/>
      <c r="F117" s="289"/>
      <c r="G117" s="317">
        <f>SUM(G115:G116)</f>
        <v>54.200382222222224</v>
      </c>
      <c r="H117" s="438"/>
      <c r="I117" s="403">
        <f>SUM(I115:I116)</f>
        <v>56.207333333333331</v>
      </c>
    </row>
    <row r="118" spans="1:9" x14ac:dyDescent="0.2">
      <c r="A118" s="156"/>
      <c r="B118" s="86"/>
      <c r="C118" s="86"/>
      <c r="D118" s="86"/>
      <c r="E118" s="86"/>
      <c r="F118" s="291"/>
      <c r="G118" s="326"/>
      <c r="H118" s="918"/>
      <c r="I118" s="919"/>
    </row>
    <row r="119" spans="1:9" x14ac:dyDescent="0.2">
      <c r="A119" s="132"/>
      <c r="B119" s="752" t="s">
        <v>888</v>
      </c>
      <c r="C119" s="781"/>
      <c r="D119" s="781"/>
      <c r="E119" s="781"/>
      <c r="F119" s="781"/>
      <c r="G119" s="320"/>
      <c r="H119" s="419"/>
      <c r="I119" s="424"/>
    </row>
    <row r="120" spans="1:9" x14ac:dyDescent="0.2">
      <c r="A120" s="160">
        <v>5</v>
      </c>
      <c r="B120" s="678" t="s">
        <v>338</v>
      </c>
      <c r="C120" s="793"/>
      <c r="D120" s="793"/>
      <c r="E120" s="793"/>
      <c r="F120" s="818"/>
      <c r="G120" s="311" t="s">
        <v>331</v>
      </c>
      <c r="H120" s="380"/>
      <c r="I120" s="401" t="s">
        <v>331</v>
      </c>
    </row>
    <row r="121" spans="1:9" x14ac:dyDescent="0.2">
      <c r="A121" s="160" t="s">
        <v>316</v>
      </c>
      <c r="B121" s="804" t="s">
        <v>339</v>
      </c>
      <c r="C121" s="679"/>
      <c r="D121" s="679"/>
      <c r="E121" s="679"/>
      <c r="F121" s="680"/>
      <c r="G121" s="327">
        <f>Uniformes!J23</f>
        <v>55.335000000000008</v>
      </c>
      <c r="H121" s="395"/>
      <c r="I121" s="414">
        <f>Uniformes!J23</f>
        <v>55.335000000000008</v>
      </c>
    </row>
    <row r="122" spans="1:9" x14ac:dyDescent="0.2">
      <c r="A122" s="160" t="s">
        <v>318</v>
      </c>
      <c r="B122" s="804" t="s">
        <v>583</v>
      </c>
      <c r="C122" s="679"/>
      <c r="D122" s="679"/>
      <c r="E122" s="679"/>
      <c r="F122" s="680"/>
      <c r="G122" s="327"/>
      <c r="H122" s="395"/>
      <c r="I122" s="414"/>
    </row>
    <row r="123" spans="1:9" x14ac:dyDescent="0.2">
      <c r="A123" s="156" t="s">
        <v>321</v>
      </c>
      <c r="B123" s="804" t="s">
        <v>584</v>
      </c>
      <c r="C123" s="679"/>
      <c r="D123" s="679"/>
      <c r="E123" s="679"/>
      <c r="F123" s="680"/>
      <c r="G123" s="327">
        <f>'Ferramentas - Equipts'!F110</f>
        <v>44.99</v>
      </c>
      <c r="H123" s="395"/>
      <c r="I123" s="414">
        <f>'Ferramentas - Equipts'!F110</f>
        <v>44.99</v>
      </c>
    </row>
    <row r="124" spans="1:9" x14ac:dyDescent="0.2">
      <c r="A124" s="156" t="s">
        <v>322</v>
      </c>
      <c r="B124" s="804" t="s">
        <v>554</v>
      </c>
      <c r="C124" s="679"/>
      <c r="D124" s="679"/>
      <c r="E124" s="679"/>
      <c r="F124" s="680"/>
      <c r="G124" s="327"/>
      <c r="H124" s="395"/>
      <c r="I124" s="414"/>
    </row>
    <row r="125" spans="1:9" x14ac:dyDescent="0.2">
      <c r="A125" s="157"/>
      <c r="B125" s="752" t="s">
        <v>352</v>
      </c>
      <c r="C125" s="781"/>
      <c r="D125" s="781"/>
      <c r="E125" s="781"/>
      <c r="F125" s="788"/>
      <c r="G125" s="317">
        <f>SUM(G121:G124)</f>
        <v>100.32500000000002</v>
      </c>
      <c r="H125" s="389"/>
      <c r="I125" s="403">
        <f>SUM(I121:I124)</f>
        <v>100.32500000000002</v>
      </c>
    </row>
    <row r="126" spans="1:9" x14ac:dyDescent="0.2">
      <c r="A126" s="972" t="s">
        <v>1072</v>
      </c>
      <c r="B126" s="973"/>
      <c r="C126" s="973"/>
      <c r="D126" s="973"/>
      <c r="E126" s="973"/>
      <c r="F126" s="973"/>
      <c r="G126" s="973"/>
      <c r="H126" s="974"/>
      <c r="I126" s="975"/>
    </row>
    <row r="127" spans="1:9" x14ac:dyDescent="0.2">
      <c r="A127" s="128"/>
      <c r="B127" s="84"/>
      <c r="C127" s="84"/>
      <c r="D127" s="84"/>
      <c r="E127" s="84"/>
      <c r="F127" s="291"/>
      <c r="G127" s="328"/>
      <c r="H127" s="974"/>
      <c r="I127" s="975"/>
    </row>
    <row r="128" spans="1:9" x14ac:dyDescent="0.2">
      <c r="A128" s="132"/>
      <c r="B128" s="752" t="s">
        <v>891</v>
      </c>
      <c r="C128" s="781"/>
      <c r="D128" s="781"/>
      <c r="E128" s="781"/>
      <c r="F128" s="781"/>
      <c r="G128" s="320"/>
      <c r="H128" s="419"/>
      <c r="I128" s="424"/>
    </row>
    <row r="129" spans="1:9" x14ac:dyDescent="0.2">
      <c r="A129" s="160">
        <v>6</v>
      </c>
      <c r="B129" s="820" t="s">
        <v>349</v>
      </c>
      <c r="C129" s="820"/>
      <c r="D129" s="820"/>
      <c r="E129" s="874" t="s">
        <v>563</v>
      </c>
      <c r="F129" s="874"/>
      <c r="G129" s="329" t="s">
        <v>331</v>
      </c>
      <c r="H129" s="396"/>
      <c r="I129" s="402" t="s">
        <v>331</v>
      </c>
    </row>
    <row r="130" spans="1:9" x14ac:dyDescent="0.2">
      <c r="A130" s="160" t="s">
        <v>316</v>
      </c>
      <c r="B130" s="819" t="s">
        <v>350</v>
      </c>
      <c r="C130" s="819"/>
      <c r="D130" s="819"/>
      <c r="E130" s="847">
        <f>ADM</f>
        <v>2.3199999999999998E-2</v>
      </c>
      <c r="F130" s="848"/>
      <c r="G130" s="327">
        <f>(G35+G81+G91+G117+G125)*E130</f>
        <v>81.595875514491183</v>
      </c>
      <c r="H130" s="395"/>
      <c r="I130" s="414">
        <f>(I35+I81+I91+I117+I125)*E130</f>
        <v>84.502457688266077</v>
      </c>
    </row>
    <row r="131" spans="1:9" x14ac:dyDescent="0.2">
      <c r="A131" s="160" t="s">
        <v>318</v>
      </c>
      <c r="B131" s="819" t="s">
        <v>576</v>
      </c>
      <c r="C131" s="819"/>
      <c r="D131" s="819"/>
      <c r="E131" s="847">
        <f>LUCRO_ENGEMIL</f>
        <v>2.3300000000000001E-2</v>
      </c>
      <c r="F131" s="848"/>
      <c r="G131" s="327">
        <f>(G35+G81+G91+G117+G125+G130)*E131</f>
        <v>83.848765773955094</v>
      </c>
      <c r="H131" s="395"/>
      <c r="I131" s="414">
        <f>(I35+I81+I91+I117+I125+I130)*E131</f>
        <v>86.83559968381762</v>
      </c>
    </row>
    <row r="132" spans="1:9" x14ac:dyDescent="0.2">
      <c r="A132" s="160" t="s">
        <v>321</v>
      </c>
      <c r="B132" s="819" t="s">
        <v>351</v>
      </c>
      <c r="C132" s="819"/>
      <c r="D132" s="819"/>
      <c r="E132" s="847">
        <f>SUM(E133:F134)</f>
        <v>0.10150000000000001</v>
      </c>
      <c r="F132" s="848"/>
      <c r="G132" s="325"/>
      <c r="H132" s="397"/>
      <c r="I132" s="415"/>
    </row>
    <row r="133" spans="1:9" ht="27" customHeight="1" x14ac:dyDescent="0.2">
      <c r="A133" s="143"/>
      <c r="B133" s="819" t="s">
        <v>971</v>
      </c>
      <c r="C133" s="819"/>
      <c r="D133" s="819"/>
      <c r="E133" s="847">
        <v>8.1500000000000003E-2</v>
      </c>
      <c r="F133" s="848"/>
      <c r="G133" s="327">
        <f>E133*G147</f>
        <v>334.02829342866596</v>
      </c>
      <c r="H133" s="395"/>
      <c r="I133" s="414">
        <f>E133*I147</f>
        <v>345.92694243628375</v>
      </c>
    </row>
    <row r="134" spans="1:9" x14ac:dyDescent="0.2">
      <c r="A134" s="143"/>
      <c r="B134" s="819" t="s">
        <v>972</v>
      </c>
      <c r="C134" s="819"/>
      <c r="D134" s="819"/>
      <c r="E134" s="847">
        <v>0.02</v>
      </c>
      <c r="F134" s="848"/>
      <c r="G134" s="327">
        <f>E134*G147</f>
        <v>81.970133356727843</v>
      </c>
      <c r="H134" s="395"/>
      <c r="I134" s="414">
        <f>E134*I147</f>
        <v>84.890047223627917</v>
      </c>
    </row>
    <row r="135" spans="1:9" x14ac:dyDescent="0.2">
      <c r="A135" s="157"/>
      <c r="B135" s="752" t="s">
        <v>352</v>
      </c>
      <c r="C135" s="781"/>
      <c r="D135" s="788"/>
      <c r="E135" s="849">
        <f>E130+E131+E132</f>
        <v>0.14800000000000002</v>
      </c>
      <c r="F135" s="788"/>
      <c r="G135" s="330">
        <f>SUM(G130:G134)</f>
        <v>581.4430680738401</v>
      </c>
      <c r="H135" s="389"/>
      <c r="I135" s="403">
        <f>SUM(I130:I134)</f>
        <v>602.15504703199542</v>
      </c>
    </row>
    <row r="136" spans="1:9" x14ac:dyDescent="0.2">
      <c r="A136" s="972" t="s">
        <v>1073</v>
      </c>
      <c r="B136" s="973"/>
      <c r="C136" s="973"/>
      <c r="D136" s="973"/>
      <c r="E136" s="973"/>
      <c r="F136" s="973"/>
      <c r="G136" s="973"/>
      <c r="H136" s="974"/>
      <c r="I136" s="975"/>
    </row>
    <row r="137" spans="1:9" x14ac:dyDescent="0.2">
      <c r="A137" s="972" t="s">
        <v>1074</v>
      </c>
      <c r="B137" s="973"/>
      <c r="C137" s="973"/>
      <c r="D137" s="973"/>
      <c r="E137" s="973"/>
      <c r="F137" s="973"/>
      <c r="G137" s="973"/>
      <c r="H137" s="974"/>
      <c r="I137" s="975"/>
    </row>
    <row r="138" spans="1:9" x14ac:dyDescent="0.2">
      <c r="A138" s="132"/>
      <c r="B138" s="769" t="s">
        <v>577</v>
      </c>
      <c r="C138" s="769"/>
      <c r="D138" s="769"/>
      <c r="E138" s="769"/>
      <c r="F138" s="769"/>
      <c r="G138" s="253"/>
      <c r="H138" s="754"/>
      <c r="I138" s="755"/>
    </row>
    <row r="139" spans="1:9" x14ac:dyDescent="0.2">
      <c r="A139" s="160"/>
      <c r="B139" s="791" t="s">
        <v>353</v>
      </c>
      <c r="C139" s="792"/>
      <c r="D139" s="792"/>
      <c r="E139" s="792"/>
      <c r="F139" s="809"/>
      <c r="G139" s="310" t="s">
        <v>354</v>
      </c>
      <c r="H139" s="398"/>
      <c r="I139" s="417" t="s">
        <v>354</v>
      </c>
    </row>
    <row r="140" spans="1:9" x14ac:dyDescent="0.2">
      <c r="A140" s="160" t="s">
        <v>316</v>
      </c>
      <c r="B140" s="844" t="s">
        <v>947</v>
      </c>
      <c r="C140" s="842"/>
      <c r="D140" s="842"/>
      <c r="E140" s="842"/>
      <c r="F140" s="843"/>
      <c r="G140" s="331">
        <f>G35</f>
        <v>1706.8</v>
      </c>
      <c r="H140" s="399"/>
      <c r="I140" s="418">
        <f>I35</f>
        <v>1770</v>
      </c>
    </row>
    <row r="141" spans="1:9" x14ac:dyDescent="0.2">
      <c r="A141" s="160" t="s">
        <v>318</v>
      </c>
      <c r="B141" s="844" t="s">
        <v>948</v>
      </c>
      <c r="C141" s="842"/>
      <c r="D141" s="842"/>
      <c r="E141" s="842"/>
      <c r="F141" s="843"/>
      <c r="G141" s="331">
        <f>G81</f>
        <v>1576.2734900013334</v>
      </c>
      <c r="H141" s="399"/>
      <c r="I141" s="418">
        <f>I81</f>
        <v>1633.4201368000001</v>
      </c>
    </row>
    <row r="142" spans="1:9" x14ac:dyDescent="0.2">
      <c r="A142" s="160" t="s">
        <v>321</v>
      </c>
      <c r="B142" s="844" t="s">
        <v>970</v>
      </c>
      <c r="C142" s="842"/>
      <c r="D142" s="842"/>
      <c r="E142" s="842"/>
      <c r="F142" s="843"/>
      <c r="G142" s="331">
        <f>G91</f>
        <v>79.464727538996001</v>
      </c>
      <c r="H142" s="399"/>
      <c r="I142" s="418">
        <f>I91</f>
        <v>82.394844016066671</v>
      </c>
    </row>
    <row r="143" spans="1:9" x14ac:dyDescent="0.2">
      <c r="A143" s="160" t="s">
        <v>322</v>
      </c>
      <c r="B143" s="844" t="s">
        <v>964</v>
      </c>
      <c r="C143" s="842"/>
      <c r="D143" s="842"/>
      <c r="E143" s="842"/>
      <c r="F143" s="843"/>
      <c r="G143" s="331">
        <f>G117</f>
        <v>54.200382222222224</v>
      </c>
      <c r="H143" s="399"/>
      <c r="I143" s="418">
        <f>I117</f>
        <v>56.207333333333331</v>
      </c>
    </row>
    <row r="144" spans="1:9" x14ac:dyDescent="0.2">
      <c r="A144" s="160" t="s">
        <v>333</v>
      </c>
      <c r="B144" s="842" t="s">
        <v>969</v>
      </c>
      <c r="C144" s="842"/>
      <c r="D144" s="842"/>
      <c r="E144" s="842"/>
      <c r="F144" s="843"/>
      <c r="G144" s="331">
        <f>G125</f>
        <v>100.32500000000002</v>
      </c>
      <c r="H144" s="399"/>
      <c r="I144" s="418">
        <f>I125</f>
        <v>100.32500000000002</v>
      </c>
    </row>
    <row r="145" spans="1:9" x14ac:dyDescent="0.2">
      <c r="A145" s="137"/>
      <c r="B145" s="822" t="s">
        <v>578</v>
      </c>
      <c r="C145" s="822"/>
      <c r="D145" s="822"/>
      <c r="E145" s="822"/>
      <c r="F145" s="823"/>
      <c r="G145" s="331">
        <f>SUM(G140:G144)</f>
        <v>3517.0635997625513</v>
      </c>
      <c r="H145" s="399"/>
      <c r="I145" s="418">
        <f>SUM(I140:I144)</f>
        <v>3642.3473141494001</v>
      </c>
    </row>
    <row r="146" spans="1:9" x14ac:dyDescent="0.2">
      <c r="A146" s="136" t="s">
        <v>334</v>
      </c>
      <c r="B146" s="844" t="s">
        <v>965</v>
      </c>
      <c r="C146" s="842"/>
      <c r="D146" s="842"/>
      <c r="E146" s="842"/>
      <c r="F146" s="843"/>
      <c r="G146" s="331">
        <f>G135</f>
        <v>581.4430680738401</v>
      </c>
      <c r="H146" s="399"/>
      <c r="I146" s="418">
        <f>I135</f>
        <v>602.15504703199542</v>
      </c>
    </row>
    <row r="147" spans="1:9" ht="16.5" thickBot="1" x14ac:dyDescent="0.25">
      <c r="A147" s="89"/>
      <c r="B147" s="766" t="s">
        <v>355</v>
      </c>
      <c r="C147" s="767"/>
      <c r="D147" s="767"/>
      <c r="E147" s="767"/>
      <c r="F147" s="768"/>
      <c r="G147" s="428">
        <f>(G130+G131+G145)/(1-E132)</f>
        <v>4098.5066678363919</v>
      </c>
      <c r="H147" s="429"/>
      <c r="I147" s="430">
        <f>(I130+I131+I145)/(1-E132)</f>
        <v>4244.5023611813958</v>
      </c>
    </row>
  </sheetData>
  <mergeCells count="207">
    <mergeCell ref="H110:I110"/>
    <mergeCell ref="H116:I116"/>
    <mergeCell ref="H126:I126"/>
    <mergeCell ref="H127:I127"/>
    <mergeCell ref="H136:I136"/>
    <mergeCell ref="H137:I137"/>
    <mergeCell ref="H61:I61"/>
    <mergeCell ref="H62:I62"/>
    <mergeCell ref="H63:I63"/>
    <mergeCell ref="H73:I73"/>
    <mergeCell ref="H74:I74"/>
    <mergeCell ref="H75:I75"/>
    <mergeCell ref="H94:I94"/>
    <mergeCell ref="H95:I95"/>
    <mergeCell ref="H96:I96"/>
    <mergeCell ref="H82:I82"/>
    <mergeCell ref="H111:I111"/>
    <mergeCell ref="H112:I112"/>
    <mergeCell ref="H118:I118"/>
    <mergeCell ref="H2:I4"/>
    <mergeCell ref="H44:I44"/>
    <mergeCell ref="H45:I45"/>
    <mergeCell ref="H46:I46"/>
    <mergeCell ref="H47:I47"/>
    <mergeCell ref="H48:I48"/>
    <mergeCell ref="H59:I59"/>
    <mergeCell ref="H60:I60"/>
    <mergeCell ref="H109:I109"/>
    <mergeCell ref="H14:I14"/>
    <mergeCell ref="H19:I19"/>
    <mergeCell ref="H20:I20"/>
    <mergeCell ref="H21:I21"/>
    <mergeCell ref="H5:I9"/>
    <mergeCell ref="H36:I36"/>
    <mergeCell ref="H37:I37"/>
    <mergeCell ref="H24:I24"/>
    <mergeCell ref="H25:I25"/>
    <mergeCell ref="H26:I26"/>
    <mergeCell ref="H10:I10"/>
    <mergeCell ref="H11:I11"/>
    <mergeCell ref="H12:I12"/>
    <mergeCell ref="H13:I13"/>
    <mergeCell ref="H15:I15"/>
    <mergeCell ref="H16:I16"/>
    <mergeCell ref="H17:I18"/>
    <mergeCell ref="H22:I22"/>
    <mergeCell ref="H23:I23"/>
    <mergeCell ref="A5:G5"/>
    <mergeCell ref="A17:E17"/>
    <mergeCell ref="F17:G18"/>
    <mergeCell ref="A18:E18"/>
    <mergeCell ref="A59:G59"/>
    <mergeCell ref="A16:D16"/>
    <mergeCell ref="A48:G48"/>
    <mergeCell ref="A45:G45"/>
    <mergeCell ref="B49:E49"/>
    <mergeCell ref="B50:E50"/>
    <mergeCell ref="B51:E51"/>
    <mergeCell ref="B52:E52"/>
    <mergeCell ref="A46:G46"/>
    <mergeCell ref="B25:E25"/>
    <mergeCell ref="F25:G25"/>
    <mergeCell ref="B26:E26"/>
    <mergeCell ref="F26:G26"/>
    <mergeCell ref="A39:G39"/>
    <mergeCell ref="A36:G36"/>
    <mergeCell ref="B28:E28"/>
    <mergeCell ref="B65:F65"/>
    <mergeCell ref="B66:F66"/>
    <mergeCell ref="B67:F67"/>
    <mergeCell ref="B68:F68"/>
    <mergeCell ref="B69:F69"/>
    <mergeCell ref="A63:G63"/>
    <mergeCell ref="A61:G61"/>
    <mergeCell ref="A60:G60"/>
    <mergeCell ref="B53:E53"/>
    <mergeCell ref="B54:E54"/>
    <mergeCell ref="B55:E55"/>
    <mergeCell ref="B56:E56"/>
    <mergeCell ref="B57:E57"/>
    <mergeCell ref="B64:F64"/>
    <mergeCell ref="B78:F78"/>
    <mergeCell ref="B79:F79"/>
    <mergeCell ref="B80:F80"/>
    <mergeCell ref="B77:F77"/>
    <mergeCell ref="B70:F70"/>
    <mergeCell ref="B71:F71"/>
    <mergeCell ref="B72:F72"/>
    <mergeCell ref="A73:G73"/>
    <mergeCell ref="A74:G74"/>
    <mergeCell ref="B76:F76"/>
    <mergeCell ref="A1:G1"/>
    <mergeCell ref="B13:E13"/>
    <mergeCell ref="F13:G13"/>
    <mergeCell ref="A14:G14"/>
    <mergeCell ref="A15:D15"/>
    <mergeCell ref="F15:G15"/>
    <mergeCell ref="A21:G21"/>
    <mergeCell ref="B22:E22"/>
    <mergeCell ref="F22:G22"/>
    <mergeCell ref="A6:G6"/>
    <mergeCell ref="B12:E12"/>
    <mergeCell ref="F12:G12"/>
    <mergeCell ref="A9:G9"/>
    <mergeCell ref="B10:E10"/>
    <mergeCell ref="F10:G10"/>
    <mergeCell ref="B11:E11"/>
    <mergeCell ref="F11:G11"/>
    <mergeCell ref="A7:G7"/>
    <mergeCell ref="A8:G8"/>
    <mergeCell ref="F16:G16"/>
    <mergeCell ref="A19:G19"/>
    <mergeCell ref="A20:G20"/>
    <mergeCell ref="A2:G3"/>
    <mergeCell ref="A4:G4"/>
    <mergeCell ref="B24:E24"/>
    <mergeCell ref="F24:G24"/>
    <mergeCell ref="B23:E23"/>
    <mergeCell ref="F23:G23"/>
    <mergeCell ref="B40:F40"/>
    <mergeCell ref="B41:E41"/>
    <mergeCell ref="B42:E42"/>
    <mergeCell ref="A44:G44"/>
    <mergeCell ref="B34:E34"/>
    <mergeCell ref="B35:E35"/>
    <mergeCell ref="A37:G37"/>
    <mergeCell ref="B43:E43"/>
    <mergeCell ref="B33:E33"/>
    <mergeCell ref="B29:E29"/>
    <mergeCell ref="B30:E30"/>
    <mergeCell ref="B31:E31"/>
    <mergeCell ref="B32:E32"/>
    <mergeCell ref="A82:G82"/>
    <mergeCell ref="B98:E98"/>
    <mergeCell ref="A96:G96"/>
    <mergeCell ref="A95:G95"/>
    <mergeCell ref="A94:G94"/>
    <mergeCell ref="B99:E99"/>
    <mergeCell ref="B100:E100"/>
    <mergeCell ref="B101:E101"/>
    <mergeCell ref="A112:G112"/>
    <mergeCell ref="B87:E87"/>
    <mergeCell ref="B88:E88"/>
    <mergeCell ref="B89:E89"/>
    <mergeCell ref="B90:E90"/>
    <mergeCell ref="B84:E84"/>
    <mergeCell ref="B85:E85"/>
    <mergeCell ref="B86:E86"/>
    <mergeCell ref="B97:E97"/>
    <mergeCell ref="B83:E83"/>
    <mergeCell ref="B93:E93"/>
    <mergeCell ref="B114:E114"/>
    <mergeCell ref="B115:E115"/>
    <mergeCell ref="B116:E116"/>
    <mergeCell ref="B102:E102"/>
    <mergeCell ref="A107:G107"/>
    <mergeCell ref="B108:E108"/>
    <mergeCell ref="B109:E109"/>
    <mergeCell ref="A111:G111"/>
    <mergeCell ref="B103:E103"/>
    <mergeCell ref="A105:G105"/>
    <mergeCell ref="A106:G106"/>
    <mergeCell ref="B113:E113"/>
    <mergeCell ref="E130:F130"/>
    <mergeCell ref="B131:D131"/>
    <mergeCell ref="E131:F131"/>
    <mergeCell ref="B123:F123"/>
    <mergeCell ref="B124:F124"/>
    <mergeCell ref="A126:G126"/>
    <mergeCell ref="B120:F120"/>
    <mergeCell ref="B121:F121"/>
    <mergeCell ref="B122:F122"/>
    <mergeCell ref="B147:F147"/>
    <mergeCell ref="B142:F142"/>
    <mergeCell ref="B143:F143"/>
    <mergeCell ref="B144:F144"/>
    <mergeCell ref="B146:F146"/>
    <mergeCell ref="B139:F139"/>
    <mergeCell ref="B140:F140"/>
    <mergeCell ref="B141:F141"/>
    <mergeCell ref="E135:F135"/>
    <mergeCell ref="A136:G136"/>
    <mergeCell ref="A137:G137"/>
    <mergeCell ref="H138:I138"/>
    <mergeCell ref="B119:F119"/>
    <mergeCell ref="B128:F128"/>
    <mergeCell ref="B138:F138"/>
    <mergeCell ref="B38:E38"/>
    <mergeCell ref="B27:E27"/>
    <mergeCell ref="B145:F145"/>
    <mergeCell ref="B58:E58"/>
    <mergeCell ref="B81:F81"/>
    <mergeCell ref="B91:E91"/>
    <mergeCell ref="B104:E104"/>
    <mergeCell ref="B110:E110"/>
    <mergeCell ref="B117:E117"/>
    <mergeCell ref="B125:F125"/>
    <mergeCell ref="B135:D135"/>
    <mergeCell ref="B132:D132"/>
    <mergeCell ref="E132:F132"/>
    <mergeCell ref="B133:D133"/>
    <mergeCell ref="E133:F133"/>
    <mergeCell ref="B134:D134"/>
    <mergeCell ref="E134:F134"/>
    <mergeCell ref="B129:D129"/>
    <mergeCell ref="E129:F129"/>
    <mergeCell ref="B130:D130"/>
  </mergeCells>
  <printOptions horizontalCentered="1"/>
  <pageMargins left="0.53149606299212604" right="0.53149606299212604" top="1.1811023622047245" bottom="0.98425196850393704" header="0" footer="0"/>
  <pageSetup paperSize="9" scale="81"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J147"/>
  <sheetViews>
    <sheetView view="pageBreakPreview" topLeftCell="A43" zoomScale="120" zoomScaleNormal="150" zoomScaleSheetLayoutView="120" workbookViewId="0">
      <selection activeCell="H49" sqref="H49"/>
    </sheetView>
  </sheetViews>
  <sheetFormatPr defaultRowHeight="12.75" x14ac:dyDescent="0.2"/>
  <cols>
    <col min="1" max="1" width="9.140625" style="144"/>
    <col min="2" max="2" width="9.140625" style="91"/>
    <col min="3" max="3" width="11.85546875" style="91" customWidth="1"/>
    <col min="4" max="4" width="22.140625" style="91" customWidth="1"/>
    <col min="5" max="5" width="30.140625" style="91" customWidth="1"/>
    <col min="6" max="6" width="10.7109375" style="298" customWidth="1"/>
    <col min="7" max="7" width="15.7109375" style="91" customWidth="1"/>
    <col min="8" max="8" width="10.7109375" style="431" customWidth="1"/>
    <col min="9" max="9" width="15.7109375" style="427" customWidth="1"/>
    <col min="10" max="16384" width="9.140625" style="91"/>
  </cols>
  <sheetData>
    <row r="1" spans="1:9" ht="12.75" customHeight="1" thickBot="1" x14ac:dyDescent="0.25">
      <c r="A1" s="826"/>
      <c r="B1" s="826"/>
      <c r="C1" s="826"/>
      <c r="D1" s="826"/>
      <c r="E1" s="826"/>
      <c r="F1" s="826"/>
      <c r="G1" s="826"/>
      <c r="H1" s="444"/>
      <c r="I1" s="444"/>
    </row>
    <row r="2" spans="1:9" ht="43.5" customHeight="1" x14ac:dyDescent="0.2">
      <c r="A2" s="827" t="s">
        <v>1017</v>
      </c>
      <c r="B2" s="828"/>
      <c r="C2" s="828"/>
      <c r="D2" s="828"/>
      <c r="E2" s="828"/>
      <c r="F2" s="828"/>
      <c r="G2" s="828"/>
      <c r="H2" s="739" t="s">
        <v>1004</v>
      </c>
      <c r="I2" s="741"/>
    </row>
    <row r="3" spans="1:9" ht="28.5" customHeight="1" thickBot="1" x14ac:dyDescent="0.25">
      <c r="A3" s="829"/>
      <c r="B3" s="830"/>
      <c r="C3" s="830"/>
      <c r="D3" s="830"/>
      <c r="E3" s="830"/>
      <c r="F3" s="830"/>
      <c r="G3" s="830"/>
      <c r="H3" s="742"/>
      <c r="I3" s="744"/>
    </row>
    <row r="4" spans="1:9" ht="54.75" customHeight="1" x14ac:dyDescent="0.2">
      <c r="A4" s="883" t="s">
        <v>579</v>
      </c>
      <c r="B4" s="883"/>
      <c r="C4" s="883"/>
      <c r="D4" s="883"/>
      <c r="E4" s="883"/>
      <c r="F4" s="883"/>
      <c r="G4" s="884"/>
      <c r="H4" s="748"/>
      <c r="I4" s="749"/>
    </row>
    <row r="5" spans="1:9" ht="15" customHeight="1" x14ac:dyDescent="0.2">
      <c r="A5" s="785" t="s">
        <v>927</v>
      </c>
      <c r="B5" s="786"/>
      <c r="C5" s="786"/>
      <c r="D5" s="786"/>
      <c r="E5" s="786"/>
      <c r="F5" s="786"/>
      <c r="G5" s="786"/>
      <c r="H5" s="900" t="s">
        <v>1141</v>
      </c>
      <c r="I5" s="901"/>
    </row>
    <row r="6" spans="1:9" x14ac:dyDescent="0.2">
      <c r="A6" s="785" t="s">
        <v>928</v>
      </c>
      <c r="B6" s="786"/>
      <c r="C6" s="786"/>
      <c r="D6" s="786"/>
      <c r="E6" s="786"/>
      <c r="F6" s="786"/>
      <c r="G6" s="786"/>
      <c r="H6" s="902"/>
      <c r="I6" s="903"/>
    </row>
    <row r="7" spans="1:9" ht="12.75" customHeight="1" x14ac:dyDescent="0.2">
      <c r="A7" s="785" t="s">
        <v>929</v>
      </c>
      <c r="B7" s="786"/>
      <c r="C7" s="786"/>
      <c r="D7" s="786"/>
      <c r="E7" s="786"/>
      <c r="F7" s="786"/>
      <c r="G7" s="786"/>
      <c r="H7" s="902"/>
      <c r="I7" s="903"/>
    </row>
    <row r="8" spans="1:9" ht="12.75" customHeight="1" x14ac:dyDescent="0.2">
      <c r="A8" s="685" t="s">
        <v>1147</v>
      </c>
      <c r="B8" s="686"/>
      <c r="C8" s="686"/>
      <c r="D8" s="686"/>
      <c r="E8" s="686"/>
      <c r="F8" s="686"/>
      <c r="G8" s="686"/>
      <c r="H8" s="902"/>
      <c r="I8" s="903"/>
    </row>
    <row r="9" spans="1:9" x14ac:dyDescent="0.2">
      <c r="A9" s="785" t="s">
        <v>546</v>
      </c>
      <c r="B9" s="786"/>
      <c r="C9" s="786"/>
      <c r="D9" s="786"/>
      <c r="E9" s="786"/>
      <c r="F9" s="786"/>
      <c r="G9" s="786"/>
      <c r="H9" s="904"/>
      <c r="I9" s="905"/>
    </row>
    <row r="10" spans="1:9" x14ac:dyDescent="0.2">
      <c r="A10" s="160" t="s">
        <v>316</v>
      </c>
      <c r="B10" s="770" t="s">
        <v>317</v>
      </c>
      <c r="C10" s="771"/>
      <c r="D10" s="771"/>
      <c r="E10" s="772"/>
      <c r="F10" s="773">
        <v>43580</v>
      </c>
      <c r="G10" s="774"/>
      <c r="H10" s="640">
        <v>43669</v>
      </c>
      <c r="I10" s="641"/>
    </row>
    <row r="11" spans="1:9" x14ac:dyDescent="0.2">
      <c r="A11" s="160" t="s">
        <v>318</v>
      </c>
      <c r="B11" s="770" t="s">
        <v>319</v>
      </c>
      <c r="C11" s="771"/>
      <c r="D11" s="771"/>
      <c r="E11" s="772"/>
      <c r="F11" s="775" t="s">
        <v>320</v>
      </c>
      <c r="G11" s="776"/>
      <c r="H11" s="642" t="s">
        <v>320</v>
      </c>
      <c r="I11" s="643"/>
    </row>
    <row r="12" spans="1:9" ht="26.25" customHeight="1" x14ac:dyDescent="0.2">
      <c r="A12" s="160" t="s">
        <v>321</v>
      </c>
      <c r="B12" s="981" t="s">
        <v>605</v>
      </c>
      <c r="C12" s="982"/>
      <c r="D12" s="982"/>
      <c r="E12" s="983"/>
      <c r="F12" s="752" t="s">
        <v>878</v>
      </c>
      <c r="G12" s="781"/>
      <c r="H12" s="954" t="s">
        <v>1153</v>
      </c>
      <c r="I12" s="955"/>
    </row>
    <row r="13" spans="1:9" x14ac:dyDescent="0.2">
      <c r="A13" s="160" t="s">
        <v>322</v>
      </c>
      <c r="B13" s="770" t="s">
        <v>1140</v>
      </c>
      <c r="C13" s="771"/>
      <c r="D13" s="771"/>
      <c r="E13" s="772"/>
      <c r="F13" s="775">
        <v>24</v>
      </c>
      <c r="G13" s="776"/>
      <c r="H13" s="860">
        <v>24</v>
      </c>
      <c r="I13" s="861"/>
    </row>
    <row r="14" spans="1:9" x14ac:dyDescent="0.2">
      <c r="A14" s="752" t="s">
        <v>547</v>
      </c>
      <c r="B14" s="781"/>
      <c r="C14" s="781"/>
      <c r="D14" s="781"/>
      <c r="E14" s="781"/>
      <c r="F14" s="781"/>
      <c r="G14" s="781"/>
      <c r="H14" s="758"/>
      <c r="I14" s="759"/>
    </row>
    <row r="15" spans="1:9" ht="36" customHeight="1" x14ac:dyDescent="0.2">
      <c r="A15" s="787" t="s">
        <v>323</v>
      </c>
      <c r="B15" s="787"/>
      <c r="C15" s="787"/>
      <c r="D15" s="787"/>
      <c r="E15" s="314" t="s">
        <v>324</v>
      </c>
      <c r="F15" s="927" t="s">
        <v>884</v>
      </c>
      <c r="G15" s="928"/>
      <c r="H15" s="934" t="s">
        <v>884</v>
      </c>
      <c r="I15" s="935"/>
    </row>
    <row r="16" spans="1:9" ht="15.75" customHeight="1" x14ac:dyDescent="0.2">
      <c r="A16" s="777" t="s">
        <v>923</v>
      </c>
      <c r="B16" s="778"/>
      <c r="C16" s="778"/>
      <c r="D16" s="779"/>
      <c r="E16" s="78" t="s">
        <v>325</v>
      </c>
      <c r="F16" s="820">
        <v>2</v>
      </c>
      <c r="G16" s="791"/>
      <c r="H16" s="800">
        <v>2</v>
      </c>
      <c r="I16" s="801"/>
    </row>
    <row r="17" spans="1:9" ht="22.5" customHeight="1" x14ac:dyDescent="0.2">
      <c r="A17" s="789" t="s">
        <v>1112</v>
      </c>
      <c r="B17" s="790"/>
      <c r="C17" s="790"/>
      <c r="D17" s="790"/>
      <c r="E17" s="790"/>
      <c r="F17" s="995"/>
      <c r="G17" s="996"/>
      <c r="H17" s="993"/>
      <c r="I17" s="994"/>
    </row>
    <row r="18" spans="1:9" ht="20.25" customHeight="1" x14ac:dyDescent="0.2">
      <c r="A18" s="789" t="s">
        <v>1113</v>
      </c>
      <c r="B18" s="790"/>
      <c r="C18" s="790"/>
      <c r="D18" s="790"/>
      <c r="E18" s="790"/>
      <c r="F18" s="995"/>
      <c r="G18" s="996"/>
      <c r="H18" s="993"/>
      <c r="I18" s="994"/>
    </row>
    <row r="19" spans="1:9" x14ac:dyDescent="0.2">
      <c r="A19" s="769" t="s">
        <v>548</v>
      </c>
      <c r="B19" s="769"/>
      <c r="C19" s="769"/>
      <c r="D19" s="769"/>
      <c r="E19" s="769"/>
      <c r="F19" s="769"/>
      <c r="G19" s="752"/>
      <c r="H19" s="754"/>
      <c r="I19" s="755"/>
    </row>
    <row r="20" spans="1:9" x14ac:dyDescent="0.2">
      <c r="A20" s="836" t="s">
        <v>326</v>
      </c>
      <c r="B20" s="836"/>
      <c r="C20" s="836"/>
      <c r="D20" s="836"/>
      <c r="E20" s="836"/>
      <c r="F20" s="836"/>
      <c r="G20" s="837"/>
      <c r="H20" s="868"/>
      <c r="I20" s="869"/>
    </row>
    <row r="21" spans="1:9" x14ac:dyDescent="0.2">
      <c r="A21" s="836" t="s">
        <v>327</v>
      </c>
      <c r="B21" s="836"/>
      <c r="C21" s="836"/>
      <c r="D21" s="836"/>
      <c r="E21" s="836"/>
      <c r="F21" s="836"/>
      <c r="G21" s="837"/>
      <c r="H21" s="868"/>
      <c r="I21" s="869"/>
    </row>
    <row r="22" spans="1:9" ht="30.75" customHeight="1" x14ac:dyDescent="0.2">
      <c r="A22" s="160">
        <v>1</v>
      </c>
      <c r="B22" s="810" t="s">
        <v>586</v>
      </c>
      <c r="C22" s="811"/>
      <c r="D22" s="811"/>
      <c r="E22" s="812"/>
      <c r="F22" s="785" t="s">
        <v>615</v>
      </c>
      <c r="G22" s="786"/>
      <c r="H22" s="866" t="s">
        <v>615</v>
      </c>
      <c r="I22" s="867"/>
    </row>
    <row r="23" spans="1:9" x14ac:dyDescent="0.2">
      <c r="A23" s="160">
        <v>2</v>
      </c>
      <c r="B23" s="810" t="s">
        <v>549</v>
      </c>
      <c r="C23" s="811"/>
      <c r="D23" s="811"/>
      <c r="E23" s="812"/>
      <c r="F23" s="752" t="s">
        <v>587</v>
      </c>
      <c r="G23" s="781"/>
      <c r="H23" s="750" t="s">
        <v>587</v>
      </c>
      <c r="I23" s="751"/>
    </row>
    <row r="24" spans="1:9" x14ac:dyDescent="0.2">
      <c r="A24" s="160">
        <v>3</v>
      </c>
      <c r="B24" s="951" t="s">
        <v>550</v>
      </c>
      <c r="C24" s="952"/>
      <c r="D24" s="952"/>
      <c r="E24" s="953"/>
      <c r="F24" s="816">
        <v>1706.8</v>
      </c>
      <c r="G24" s="817"/>
      <c r="H24" s="988">
        <v>1770</v>
      </c>
      <c r="I24" s="989"/>
    </row>
    <row r="25" spans="1:9" ht="19.5" customHeight="1" x14ac:dyDescent="0.2">
      <c r="A25" s="160">
        <v>4</v>
      </c>
      <c r="B25" s="810" t="s">
        <v>329</v>
      </c>
      <c r="C25" s="811"/>
      <c r="D25" s="811"/>
      <c r="E25" s="812"/>
      <c r="F25" s="752" t="str">
        <f>A16</f>
        <v xml:space="preserve">Eletricista Plantonista Diurno </v>
      </c>
      <c r="G25" s="781"/>
      <c r="H25" s="750" t="str">
        <f>A16</f>
        <v xml:space="preserve">Eletricista Plantonista Diurno </v>
      </c>
      <c r="I25" s="751"/>
    </row>
    <row r="26" spans="1:9" x14ac:dyDescent="0.2">
      <c r="A26" s="160">
        <v>5</v>
      </c>
      <c r="B26" s="810" t="s">
        <v>582</v>
      </c>
      <c r="C26" s="811"/>
      <c r="D26" s="811"/>
      <c r="E26" s="812"/>
      <c r="F26" s="835" t="s">
        <v>619</v>
      </c>
      <c r="G26" s="792"/>
      <c r="H26" s="856" t="s">
        <v>1154</v>
      </c>
      <c r="I26" s="857"/>
    </row>
    <row r="27" spans="1:9" x14ac:dyDescent="0.2">
      <c r="A27" s="132"/>
      <c r="B27" s="891" t="s">
        <v>973</v>
      </c>
      <c r="C27" s="892"/>
      <c r="D27" s="892"/>
      <c r="E27" s="892"/>
      <c r="F27" s="785"/>
      <c r="G27" s="943"/>
      <c r="H27" s="910"/>
      <c r="I27" s="911"/>
    </row>
    <row r="28" spans="1:9" x14ac:dyDescent="0.2">
      <c r="A28" s="160">
        <v>1</v>
      </c>
      <c r="B28" s="791" t="s">
        <v>330</v>
      </c>
      <c r="C28" s="792"/>
      <c r="D28" s="792"/>
      <c r="E28" s="809"/>
      <c r="F28" s="284" t="s">
        <v>341</v>
      </c>
      <c r="G28" s="311" t="s">
        <v>331</v>
      </c>
      <c r="H28" s="432" t="s">
        <v>341</v>
      </c>
      <c r="I28" s="401" t="s">
        <v>331</v>
      </c>
    </row>
    <row r="29" spans="1:9" x14ac:dyDescent="0.2">
      <c r="A29" s="160" t="s">
        <v>316</v>
      </c>
      <c r="B29" s="804" t="s">
        <v>589</v>
      </c>
      <c r="C29" s="679"/>
      <c r="D29" s="679"/>
      <c r="E29" s="680"/>
      <c r="F29" s="286">
        <v>1</v>
      </c>
      <c r="G29" s="327">
        <f>F24</f>
        <v>1706.8</v>
      </c>
      <c r="H29" s="436">
        <v>1</v>
      </c>
      <c r="I29" s="414">
        <f>H24</f>
        <v>1770</v>
      </c>
    </row>
    <row r="30" spans="1:9" x14ac:dyDescent="0.2">
      <c r="A30" s="160" t="s">
        <v>318</v>
      </c>
      <c r="B30" s="1005" t="s">
        <v>995</v>
      </c>
      <c r="C30" s="1006"/>
      <c r="D30" s="1006"/>
      <c r="E30" s="1007"/>
      <c r="F30" s="286">
        <v>0.3</v>
      </c>
      <c r="G30" s="319">
        <f>G29*F30</f>
        <v>512.04</v>
      </c>
      <c r="H30" s="436">
        <v>0.3</v>
      </c>
      <c r="I30" s="404">
        <f>I29*H30</f>
        <v>531</v>
      </c>
    </row>
    <row r="31" spans="1:9" x14ac:dyDescent="0.2">
      <c r="A31" s="160" t="s">
        <v>321</v>
      </c>
      <c r="B31" s="804" t="s">
        <v>551</v>
      </c>
      <c r="C31" s="679"/>
      <c r="D31" s="679"/>
      <c r="E31" s="680"/>
      <c r="F31" s="286">
        <v>0</v>
      </c>
      <c r="G31" s="319">
        <f t="shared" ref="G31:G33" si="0">G30*F31</f>
        <v>0</v>
      </c>
      <c r="H31" s="436">
        <v>0</v>
      </c>
      <c r="I31" s="404">
        <f t="shared" ref="I31:I33" si="1">I30*H31</f>
        <v>0</v>
      </c>
    </row>
    <row r="32" spans="1:9" x14ac:dyDescent="0.2">
      <c r="A32" s="160" t="s">
        <v>322</v>
      </c>
      <c r="B32" s="804" t="s">
        <v>552</v>
      </c>
      <c r="C32" s="679"/>
      <c r="D32" s="679"/>
      <c r="E32" s="680"/>
      <c r="F32" s="286">
        <v>0</v>
      </c>
      <c r="G32" s="319">
        <f t="shared" si="0"/>
        <v>0</v>
      </c>
      <c r="H32" s="436">
        <v>0</v>
      </c>
      <c r="I32" s="404">
        <f t="shared" si="1"/>
        <v>0</v>
      </c>
    </row>
    <row r="33" spans="1:9" x14ac:dyDescent="0.2">
      <c r="A33" s="160" t="s">
        <v>333</v>
      </c>
      <c r="B33" s="804" t="s">
        <v>553</v>
      </c>
      <c r="C33" s="679"/>
      <c r="D33" s="679"/>
      <c r="E33" s="680"/>
      <c r="F33" s="286">
        <v>0</v>
      </c>
      <c r="G33" s="319">
        <f t="shared" si="0"/>
        <v>0</v>
      </c>
      <c r="H33" s="436">
        <v>0</v>
      </c>
      <c r="I33" s="404">
        <f t="shared" si="1"/>
        <v>0</v>
      </c>
    </row>
    <row r="34" spans="1:9" x14ac:dyDescent="0.2">
      <c r="A34" s="160" t="s">
        <v>334</v>
      </c>
      <c r="B34" s="804" t="s">
        <v>883</v>
      </c>
      <c r="C34" s="679"/>
      <c r="D34" s="679"/>
      <c r="E34" s="680"/>
      <c r="F34" s="286">
        <v>0</v>
      </c>
      <c r="G34" s="319">
        <v>0</v>
      </c>
      <c r="H34" s="436">
        <v>0</v>
      </c>
      <c r="I34" s="404">
        <v>0</v>
      </c>
    </row>
    <row r="35" spans="1:9" x14ac:dyDescent="0.2">
      <c r="A35" s="155"/>
      <c r="B35" s="752" t="s">
        <v>337</v>
      </c>
      <c r="C35" s="781"/>
      <c r="D35" s="781"/>
      <c r="E35" s="781"/>
      <c r="F35" s="287">
        <f>SUM(F29:F34)</f>
        <v>1.3</v>
      </c>
      <c r="G35" s="317">
        <f>SUM(G29:G34)</f>
        <v>2218.84</v>
      </c>
      <c r="H35" s="437">
        <f>SUM(H29:H34)</f>
        <v>1.3</v>
      </c>
      <c r="I35" s="403">
        <f>SUM(I29:I34)</f>
        <v>2301</v>
      </c>
    </row>
    <row r="36" spans="1:9" x14ac:dyDescent="0.2">
      <c r="A36" s="978" t="s">
        <v>1066</v>
      </c>
      <c r="B36" s="979"/>
      <c r="C36" s="979"/>
      <c r="D36" s="979"/>
      <c r="E36" s="979"/>
      <c r="F36" s="979"/>
      <c r="G36" s="979"/>
      <c r="H36" s="881"/>
      <c r="I36" s="882"/>
    </row>
    <row r="37" spans="1:9" x14ac:dyDescent="0.2">
      <c r="A37" s="775"/>
      <c r="B37" s="776"/>
      <c r="C37" s="776"/>
      <c r="D37" s="776"/>
      <c r="E37" s="776"/>
      <c r="F37" s="776"/>
      <c r="G37" s="776"/>
      <c r="H37" s="974"/>
      <c r="I37" s="975"/>
    </row>
    <row r="38" spans="1:9" x14ac:dyDescent="0.2">
      <c r="A38" s="132"/>
      <c r="B38" s="752" t="s">
        <v>555</v>
      </c>
      <c r="C38" s="781"/>
      <c r="D38" s="781"/>
      <c r="E38" s="781"/>
      <c r="F38" s="785"/>
      <c r="G38" s="943"/>
      <c r="H38" s="910"/>
      <c r="I38" s="911"/>
    </row>
    <row r="39" spans="1:9" x14ac:dyDescent="0.2">
      <c r="A39" s="678" t="s">
        <v>556</v>
      </c>
      <c r="B39" s="793"/>
      <c r="C39" s="793"/>
      <c r="D39" s="793"/>
      <c r="E39" s="793"/>
      <c r="F39" s="793"/>
      <c r="G39" s="793"/>
      <c r="H39" s="387"/>
      <c r="I39" s="408"/>
    </row>
    <row r="40" spans="1:9" x14ac:dyDescent="0.2">
      <c r="A40" s="160" t="s">
        <v>557</v>
      </c>
      <c r="B40" s="791" t="s">
        <v>558</v>
      </c>
      <c r="C40" s="792"/>
      <c r="D40" s="792"/>
      <c r="E40" s="792"/>
      <c r="F40" s="809"/>
      <c r="G40" s="311" t="s">
        <v>331</v>
      </c>
      <c r="H40" s="380"/>
      <c r="I40" s="401" t="s">
        <v>331</v>
      </c>
    </row>
    <row r="41" spans="1:9" x14ac:dyDescent="0.2">
      <c r="A41" s="160" t="s">
        <v>316</v>
      </c>
      <c r="B41" s="804" t="s">
        <v>559</v>
      </c>
      <c r="C41" s="679"/>
      <c r="D41" s="679"/>
      <c r="E41" s="680"/>
      <c r="F41" s="288">
        <v>8.3299999999999999E-2</v>
      </c>
      <c r="G41" s="319">
        <f>F41*G35</f>
        <v>184.82937200000001</v>
      </c>
      <c r="H41" s="434">
        <v>8.3299999999999999E-2</v>
      </c>
      <c r="I41" s="404">
        <f>H41*I35</f>
        <v>191.67330000000001</v>
      </c>
    </row>
    <row r="42" spans="1:9" x14ac:dyDescent="0.2">
      <c r="A42" s="160" t="s">
        <v>318</v>
      </c>
      <c r="B42" s="804" t="s">
        <v>607</v>
      </c>
      <c r="C42" s="679"/>
      <c r="D42" s="679"/>
      <c r="E42" s="680"/>
      <c r="F42" s="288">
        <f>8.33%+(8.33%*1/3)</f>
        <v>0.11106666666666666</v>
      </c>
      <c r="G42" s="319">
        <f>F42*G35</f>
        <v>246.43916266666668</v>
      </c>
      <c r="H42" s="434">
        <f>8.33%+(8.33%*1/3)</f>
        <v>0.11106666666666666</v>
      </c>
      <c r="I42" s="404">
        <f>H42*I35</f>
        <v>255.56439999999998</v>
      </c>
    </row>
    <row r="43" spans="1:9" x14ac:dyDescent="0.2">
      <c r="A43" s="157"/>
      <c r="B43" s="752" t="s">
        <v>352</v>
      </c>
      <c r="C43" s="781"/>
      <c r="D43" s="781"/>
      <c r="E43" s="788"/>
      <c r="F43" s="289">
        <f>SUM(F41:F42)</f>
        <v>0.19436666666666666</v>
      </c>
      <c r="G43" s="317">
        <f>SUM(G41:G42)</f>
        <v>431.26853466666671</v>
      </c>
      <c r="H43" s="438">
        <f>SUM(H41:H42)</f>
        <v>0.19436666666666666</v>
      </c>
      <c r="I43" s="403">
        <f>SUM(I41:I42)</f>
        <v>447.23770000000002</v>
      </c>
    </row>
    <row r="44" spans="1:9" ht="20.25" customHeight="1" x14ac:dyDescent="0.2">
      <c r="A44" s="789" t="s">
        <v>1084</v>
      </c>
      <c r="B44" s="790"/>
      <c r="C44" s="790"/>
      <c r="D44" s="790"/>
      <c r="E44" s="790"/>
      <c r="F44" s="790"/>
      <c r="G44" s="790"/>
      <c r="H44" s="877"/>
      <c r="I44" s="878"/>
    </row>
    <row r="45" spans="1:9" ht="14.25" customHeight="1" x14ac:dyDescent="0.2">
      <c r="A45" s="789" t="s">
        <v>1085</v>
      </c>
      <c r="B45" s="790"/>
      <c r="C45" s="790"/>
      <c r="D45" s="790"/>
      <c r="E45" s="790"/>
      <c r="F45" s="790"/>
      <c r="G45" s="790"/>
      <c r="H45" s="877"/>
      <c r="I45" s="878"/>
    </row>
    <row r="46" spans="1:9" ht="21.75" customHeight="1" x14ac:dyDescent="0.2">
      <c r="A46" s="821" t="s">
        <v>1086</v>
      </c>
      <c r="B46" s="821"/>
      <c r="C46" s="821"/>
      <c r="D46" s="821"/>
      <c r="E46" s="821"/>
      <c r="F46" s="821"/>
      <c r="G46" s="821"/>
      <c r="H46" s="877"/>
      <c r="I46" s="878"/>
    </row>
    <row r="47" spans="1:9" x14ac:dyDescent="0.2">
      <c r="A47" s="775"/>
      <c r="B47" s="776"/>
      <c r="C47" s="776"/>
      <c r="D47" s="776"/>
      <c r="E47" s="776"/>
      <c r="F47" s="776"/>
      <c r="G47" s="776"/>
      <c r="H47" s="877"/>
      <c r="I47" s="878"/>
    </row>
    <row r="48" spans="1:9" x14ac:dyDescent="0.2">
      <c r="A48" s="678" t="s">
        <v>560</v>
      </c>
      <c r="B48" s="793"/>
      <c r="C48" s="793"/>
      <c r="D48" s="793"/>
      <c r="E48" s="793"/>
      <c r="F48" s="793"/>
      <c r="G48" s="793"/>
      <c r="H48" s="877"/>
      <c r="I48" s="878"/>
    </row>
    <row r="49" spans="1:10" ht="24" x14ac:dyDescent="0.2">
      <c r="A49" s="160" t="s">
        <v>561</v>
      </c>
      <c r="B49" s="791" t="s">
        <v>562</v>
      </c>
      <c r="C49" s="776"/>
      <c r="D49" s="776"/>
      <c r="E49" s="893"/>
      <c r="F49" s="288" t="s">
        <v>563</v>
      </c>
      <c r="G49" s="311" t="s">
        <v>331</v>
      </c>
      <c r="H49" s="434" t="s">
        <v>563</v>
      </c>
      <c r="I49" s="401" t="s">
        <v>331</v>
      </c>
    </row>
    <row r="50" spans="1:10" x14ac:dyDescent="0.2">
      <c r="A50" s="160" t="s">
        <v>316</v>
      </c>
      <c r="B50" s="804" t="s">
        <v>342</v>
      </c>
      <c r="C50" s="679"/>
      <c r="D50" s="679"/>
      <c r="E50" s="680"/>
      <c r="F50" s="291"/>
      <c r="G50" s="321">
        <f>F50*(G35+G43+G117)</f>
        <v>0</v>
      </c>
      <c r="H50" s="434"/>
      <c r="I50" s="409">
        <f>H50*(I35+I43+I117)</f>
        <v>0</v>
      </c>
    </row>
    <row r="51" spans="1:10" x14ac:dyDescent="0.2">
      <c r="A51" s="160" t="s">
        <v>318</v>
      </c>
      <c r="B51" s="804" t="s">
        <v>564</v>
      </c>
      <c r="C51" s="679"/>
      <c r="D51" s="679"/>
      <c r="E51" s="680"/>
      <c r="F51" s="291">
        <v>2.5000000000000001E-2</v>
      </c>
      <c r="G51" s="321">
        <f>F51*(G35+G43+G117)</f>
        <v>68.014225788888893</v>
      </c>
      <c r="H51" s="434">
        <v>2.5000000000000001E-2</v>
      </c>
      <c r="I51" s="409">
        <f>H51*(I35+I43+I117)</f>
        <v>70.532680833333345</v>
      </c>
    </row>
    <row r="52" spans="1:10" x14ac:dyDescent="0.2">
      <c r="A52" s="160" t="s">
        <v>321</v>
      </c>
      <c r="B52" s="804" t="s">
        <v>565</v>
      </c>
      <c r="C52" s="679"/>
      <c r="D52" s="679"/>
      <c r="E52" s="680"/>
      <c r="F52" s="291">
        <v>2.7900000000000001E-2</v>
      </c>
      <c r="G52" s="321">
        <f>F52*(G35+G43+G117)</f>
        <v>75.903875980400002</v>
      </c>
      <c r="H52" s="196">
        <v>2.76E-2</v>
      </c>
      <c r="I52" s="506">
        <f>H52*(I35+I43+I117)</f>
        <v>77.868079640000005</v>
      </c>
      <c r="J52" s="504"/>
    </row>
    <row r="53" spans="1:10" x14ac:dyDescent="0.2">
      <c r="A53" s="160" t="s">
        <v>322</v>
      </c>
      <c r="B53" s="804" t="s">
        <v>566</v>
      </c>
      <c r="C53" s="679"/>
      <c r="D53" s="679"/>
      <c r="E53" s="680"/>
      <c r="F53" s="291">
        <v>1.4999999999999999E-2</v>
      </c>
      <c r="G53" s="321">
        <f>F53*(G35+G43+G117)</f>
        <v>40.808535473333336</v>
      </c>
      <c r="H53" s="434">
        <v>1.4999999999999999E-2</v>
      </c>
      <c r="I53" s="409">
        <f>H53*(I35+I43+I117)</f>
        <v>42.319608500000001</v>
      </c>
    </row>
    <row r="54" spans="1:10" x14ac:dyDescent="0.2">
      <c r="A54" s="160" t="s">
        <v>333</v>
      </c>
      <c r="B54" s="804" t="s">
        <v>343</v>
      </c>
      <c r="C54" s="679"/>
      <c r="D54" s="679"/>
      <c r="E54" s="680"/>
      <c r="F54" s="291">
        <v>0.01</v>
      </c>
      <c r="G54" s="321">
        <f>F54*(G35+G43+G117)</f>
        <v>27.205690315555557</v>
      </c>
      <c r="H54" s="434">
        <v>0.01</v>
      </c>
      <c r="I54" s="409">
        <f>H54*(I35+I43+I117)</f>
        <v>28.213072333333336</v>
      </c>
    </row>
    <row r="55" spans="1:10" x14ac:dyDescent="0.2">
      <c r="A55" s="160" t="s">
        <v>334</v>
      </c>
      <c r="B55" s="804" t="s">
        <v>346</v>
      </c>
      <c r="C55" s="679"/>
      <c r="D55" s="679"/>
      <c r="E55" s="680"/>
      <c r="F55" s="291">
        <v>6.0000000000000001E-3</v>
      </c>
      <c r="G55" s="321">
        <f>F55*(G35+G43+G117)</f>
        <v>16.323414189333334</v>
      </c>
      <c r="H55" s="434">
        <v>6.0000000000000001E-3</v>
      </c>
      <c r="I55" s="409">
        <f>H55*(I35+I43+I117)</f>
        <v>16.9278434</v>
      </c>
    </row>
    <row r="56" spans="1:10" x14ac:dyDescent="0.2">
      <c r="A56" s="160" t="s">
        <v>335</v>
      </c>
      <c r="B56" s="804" t="s">
        <v>344</v>
      </c>
      <c r="C56" s="679"/>
      <c r="D56" s="679"/>
      <c r="E56" s="680"/>
      <c r="F56" s="291">
        <v>2E-3</v>
      </c>
      <c r="G56" s="321">
        <f>F56*(G35+G43+G117)</f>
        <v>5.4411380631111115</v>
      </c>
      <c r="H56" s="434">
        <v>2E-3</v>
      </c>
      <c r="I56" s="409">
        <f>H56*(I35+I43+I117)</f>
        <v>5.6426144666666671</v>
      </c>
    </row>
    <row r="57" spans="1:10" x14ac:dyDescent="0.2">
      <c r="A57" s="160" t="s">
        <v>336</v>
      </c>
      <c r="B57" s="804" t="s">
        <v>345</v>
      </c>
      <c r="C57" s="679"/>
      <c r="D57" s="679"/>
      <c r="E57" s="680"/>
      <c r="F57" s="291">
        <v>0.08</v>
      </c>
      <c r="G57" s="321">
        <f>F57*(G35+G43+G117)</f>
        <v>217.64552252444446</v>
      </c>
      <c r="H57" s="434">
        <v>0.08</v>
      </c>
      <c r="I57" s="409">
        <f>H57*(I35+I43+I117)</f>
        <v>225.70457866666669</v>
      </c>
    </row>
    <row r="58" spans="1:10" x14ac:dyDescent="0.2">
      <c r="A58" s="157"/>
      <c r="B58" s="752" t="s">
        <v>352</v>
      </c>
      <c r="C58" s="781"/>
      <c r="D58" s="781"/>
      <c r="E58" s="788"/>
      <c r="F58" s="289">
        <f>SUM(F50:F57)</f>
        <v>0.16589999999999999</v>
      </c>
      <c r="G58" s="322">
        <f>SUM(G50:G57)</f>
        <v>451.34240233506671</v>
      </c>
      <c r="H58" s="438">
        <f>SUM(H50:H57)</f>
        <v>0.1656</v>
      </c>
      <c r="I58" s="410">
        <f>SUM(I50:I57)</f>
        <v>467.20847784</v>
      </c>
    </row>
    <row r="59" spans="1:10" x14ac:dyDescent="0.2">
      <c r="A59" s="972" t="s">
        <v>1055</v>
      </c>
      <c r="B59" s="973"/>
      <c r="C59" s="973"/>
      <c r="D59" s="973"/>
      <c r="E59" s="973"/>
      <c r="F59" s="973"/>
      <c r="G59" s="973"/>
      <c r="H59" s="877"/>
      <c r="I59" s="878"/>
    </row>
    <row r="60" spans="1:10" x14ac:dyDescent="0.2">
      <c r="A60" s="972" t="s">
        <v>1056</v>
      </c>
      <c r="B60" s="973"/>
      <c r="C60" s="973"/>
      <c r="D60" s="973"/>
      <c r="E60" s="973"/>
      <c r="F60" s="973"/>
      <c r="G60" s="973"/>
      <c r="H60" s="877"/>
      <c r="I60" s="878"/>
    </row>
    <row r="61" spans="1:10" x14ac:dyDescent="0.2">
      <c r="A61" s="976" t="s">
        <v>936</v>
      </c>
      <c r="B61" s="977"/>
      <c r="C61" s="977"/>
      <c r="D61" s="977"/>
      <c r="E61" s="977"/>
      <c r="F61" s="977"/>
      <c r="G61" s="977"/>
      <c r="H61" s="877"/>
      <c r="I61" s="878"/>
    </row>
    <row r="62" spans="1:10" x14ac:dyDescent="0.2">
      <c r="A62" s="156"/>
      <c r="B62" s="79"/>
      <c r="C62" s="77"/>
      <c r="D62" s="77"/>
      <c r="E62" s="77"/>
      <c r="F62" s="291"/>
      <c r="G62" s="312"/>
      <c r="H62" s="877"/>
      <c r="I62" s="878"/>
    </row>
    <row r="63" spans="1:10" x14ac:dyDescent="0.2">
      <c r="A63" s="678" t="s">
        <v>567</v>
      </c>
      <c r="B63" s="793"/>
      <c r="C63" s="793"/>
      <c r="D63" s="793"/>
      <c r="E63" s="793"/>
      <c r="F63" s="793"/>
      <c r="G63" s="793"/>
      <c r="H63" s="877"/>
      <c r="I63" s="878"/>
    </row>
    <row r="64" spans="1:10" x14ac:dyDescent="0.2">
      <c r="A64" s="160" t="s">
        <v>568</v>
      </c>
      <c r="B64" s="820" t="s">
        <v>569</v>
      </c>
      <c r="C64" s="820"/>
      <c r="D64" s="820"/>
      <c r="E64" s="820"/>
      <c r="F64" s="820"/>
      <c r="G64" s="311" t="s">
        <v>331</v>
      </c>
      <c r="H64" s="380"/>
      <c r="I64" s="401" t="s">
        <v>331</v>
      </c>
    </row>
    <row r="65" spans="1:9" ht="24.75" customHeight="1" x14ac:dyDescent="0.2">
      <c r="A65" s="160" t="s">
        <v>316</v>
      </c>
      <c r="B65" s="804" t="s">
        <v>1082</v>
      </c>
      <c r="C65" s="679"/>
      <c r="D65" s="679"/>
      <c r="E65" s="679"/>
      <c r="F65" s="680"/>
      <c r="G65" s="319">
        <f>((5+2.5)*2*15.5)-6%*G29</f>
        <v>130.09200000000001</v>
      </c>
      <c r="H65" s="388"/>
      <c r="I65" s="404">
        <f>((5+2.5)*2*15.5)-6%*I29</f>
        <v>126.3</v>
      </c>
    </row>
    <row r="66" spans="1:9" ht="21.75" customHeight="1" x14ac:dyDescent="0.2">
      <c r="A66" s="160" t="s">
        <v>318</v>
      </c>
      <c r="B66" s="804" t="s">
        <v>1083</v>
      </c>
      <c r="C66" s="679"/>
      <c r="D66" s="679"/>
      <c r="E66" s="679"/>
      <c r="F66" s="680"/>
      <c r="G66" s="319">
        <f>31.5*15.5</f>
        <v>488.25</v>
      </c>
      <c r="H66" s="388"/>
      <c r="I66" s="404">
        <f>32.7*15.5</f>
        <v>506.85</v>
      </c>
    </row>
    <row r="67" spans="1:9" x14ac:dyDescent="0.2">
      <c r="A67" s="160" t="s">
        <v>321</v>
      </c>
      <c r="B67" s="804" t="s">
        <v>963</v>
      </c>
      <c r="C67" s="679"/>
      <c r="D67" s="679"/>
      <c r="E67" s="679"/>
      <c r="F67" s="680"/>
      <c r="G67" s="319">
        <v>0</v>
      </c>
      <c r="H67" s="388"/>
      <c r="I67" s="404">
        <v>0</v>
      </c>
    </row>
    <row r="68" spans="1:9" x14ac:dyDescent="0.2">
      <c r="A68" s="160" t="s">
        <v>322</v>
      </c>
      <c r="B68" s="678" t="s">
        <v>930</v>
      </c>
      <c r="C68" s="679"/>
      <c r="D68" s="679"/>
      <c r="E68" s="679"/>
      <c r="F68" s="680"/>
      <c r="G68" s="319">
        <v>0</v>
      </c>
      <c r="H68" s="388"/>
      <c r="I68" s="404">
        <v>0</v>
      </c>
    </row>
    <row r="69" spans="1:9" x14ac:dyDescent="0.2">
      <c r="A69" s="160" t="s">
        <v>333</v>
      </c>
      <c r="B69" s="678" t="s">
        <v>933</v>
      </c>
      <c r="C69" s="793"/>
      <c r="D69" s="793"/>
      <c r="E69" s="793"/>
      <c r="F69" s="818"/>
      <c r="G69" s="319"/>
      <c r="H69" s="388"/>
      <c r="I69" s="404"/>
    </row>
    <row r="70" spans="1:9" x14ac:dyDescent="0.2">
      <c r="A70" s="160" t="s">
        <v>334</v>
      </c>
      <c r="B70" s="678" t="s">
        <v>932</v>
      </c>
      <c r="C70" s="679"/>
      <c r="D70" s="679"/>
      <c r="E70" s="679"/>
      <c r="F70" s="680"/>
      <c r="G70" s="319">
        <v>0</v>
      </c>
      <c r="H70" s="388"/>
      <c r="I70" s="404">
        <v>10.65</v>
      </c>
    </row>
    <row r="71" spans="1:9" x14ac:dyDescent="0.2">
      <c r="A71" s="160" t="s">
        <v>335</v>
      </c>
      <c r="B71" s="678" t="s">
        <v>931</v>
      </c>
      <c r="C71" s="679"/>
      <c r="D71" s="679"/>
      <c r="E71" s="679"/>
      <c r="F71" s="680"/>
      <c r="G71" s="319">
        <v>0</v>
      </c>
      <c r="H71" s="388"/>
      <c r="I71" s="404">
        <v>0</v>
      </c>
    </row>
    <row r="72" spans="1:9" x14ac:dyDescent="0.2">
      <c r="A72" s="155"/>
      <c r="B72" s="752" t="s">
        <v>352</v>
      </c>
      <c r="C72" s="781"/>
      <c r="D72" s="781"/>
      <c r="E72" s="781"/>
      <c r="F72" s="788"/>
      <c r="G72" s="317">
        <f>SUM(G65:G70)</f>
        <v>618.34199999999998</v>
      </c>
      <c r="H72" s="389"/>
      <c r="I72" s="403">
        <f>SUM(I65:I70)</f>
        <v>643.79999999999995</v>
      </c>
    </row>
    <row r="73" spans="1:9" x14ac:dyDescent="0.2">
      <c r="A73" s="972" t="s">
        <v>1062</v>
      </c>
      <c r="B73" s="973"/>
      <c r="C73" s="973"/>
      <c r="D73" s="973"/>
      <c r="E73" s="973"/>
      <c r="F73" s="973"/>
      <c r="G73" s="973"/>
      <c r="H73" s="877"/>
      <c r="I73" s="878"/>
    </row>
    <row r="74" spans="1:9" x14ac:dyDescent="0.2">
      <c r="A74" s="972" t="s">
        <v>1058</v>
      </c>
      <c r="B74" s="973"/>
      <c r="C74" s="973"/>
      <c r="D74" s="973"/>
      <c r="E74" s="973"/>
      <c r="F74" s="973"/>
      <c r="G74" s="973"/>
      <c r="H74" s="877"/>
      <c r="I74" s="878"/>
    </row>
    <row r="75" spans="1:9" x14ac:dyDescent="0.2">
      <c r="A75" s="158"/>
      <c r="B75" s="77"/>
      <c r="C75" s="77"/>
      <c r="D75" s="77"/>
      <c r="E75" s="77"/>
      <c r="F75" s="290"/>
      <c r="G75" s="307"/>
      <c r="H75" s="877"/>
      <c r="I75" s="878"/>
    </row>
    <row r="76" spans="1:9" x14ac:dyDescent="0.2">
      <c r="A76" s="157"/>
      <c r="B76" s="752" t="s">
        <v>892</v>
      </c>
      <c r="C76" s="781"/>
      <c r="D76" s="781"/>
      <c r="E76" s="781"/>
      <c r="F76" s="781"/>
      <c r="G76" s="320"/>
      <c r="H76" s="754"/>
      <c r="I76" s="755"/>
    </row>
    <row r="77" spans="1:9" x14ac:dyDescent="0.2">
      <c r="A77" s="160">
        <v>2</v>
      </c>
      <c r="B77" s="820" t="s">
        <v>571</v>
      </c>
      <c r="C77" s="820"/>
      <c r="D77" s="820"/>
      <c r="E77" s="820"/>
      <c r="F77" s="820"/>
      <c r="G77" s="311" t="s">
        <v>331</v>
      </c>
      <c r="H77" s="380"/>
      <c r="I77" s="401" t="s">
        <v>331</v>
      </c>
    </row>
    <row r="78" spans="1:9" x14ac:dyDescent="0.2">
      <c r="A78" s="160" t="s">
        <v>557</v>
      </c>
      <c r="B78" s="819" t="s">
        <v>572</v>
      </c>
      <c r="C78" s="819"/>
      <c r="D78" s="819"/>
      <c r="E78" s="819"/>
      <c r="F78" s="819"/>
      <c r="G78" s="319">
        <f>G43</f>
        <v>431.26853466666671</v>
      </c>
      <c r="H78" s="388"/>
      <c r="I78" s="404">
        <f>I43</f>
        <v>447.23770000000002</v>
      </c>
    </row>
    <row r="79" spans="1:9" x14ac:dyDescent="0.2">
      <c r="A79" s="160" t="s">
        <v>561</v>
      </c>
      <c r="B79" s="819" t="s">
        <v>562</v>
      </c>
      <c r="C79" s="819"/>
      <c r="D79" s="819"/>
      <c r="E79" s="819"/>
      <c r="F79" s="819"/>
      <c r="G79" s="319">
        <f>G58</f>
        <v>451.34240233506671</v>
      </c>
      <c r="H79" s="388"/>
      <c r="I79" s="404">
        <f>I58</f>
        <v>467.20847784</v>
      </c>
    </row>
    <row r="80" spans="1:9" x14ac:dyDescent="0.2">
      <c r="A80" s="160" t="s">
        <v>568</v>
      </c>
      <c r="B80" s="819" t="s">
        <v>569</v>
      </c>
      <c r="C80" s="819"/>
      <c r="D80" s="819"/>
      <c r="E80" s="819"/>
      <c r="F80" s="819"/>
      <c r="G80" s="319">
        <f>G72</f>
        <v>618.34199999999998</v>
      </c>
      <c r="H80" s="388"/>
      <c r="I80" s="404">
        <f>I72</f>
        <v>643.79999999999995</v>
      </c>
    </row>
    <row r="81" spans="1:9" x14ac:dyDescent="0.2">
      <c r="A81" s="134"/>
      <c r="B81" s="756" t="s">
        <v>352</v>
      </c>
      <c r="C81" s="840"/>
      <c r="D81" s="840"/>
      <c r="E81" s="840"/>
      <c r="F81" s="841"/>
      <c r="G81" s="317">
        <f>SUM(G78:G80)</f>
        <v>1500.9529370017335</v>
      </c>
      <c r="H81" s="389"/>
      <c r="I81" s="403">
        <f>SUM(I78:I80)</f>
        <v>1558.24617784</v>
      </c>
    </row>
    <row r="82" spans="1:9" x14ac:dyDescent="0.2">
      <c r="A82" s="838"/>
      <c r="B82" s="839"/>
      <c r="C82" s="839"/>
      <c r="D82" s="839"/>
      <c r="E82" s="839"/>
      <c r="F82" s="839"/>
      <c r="G82" s="839"/>
      <c r="H82" s="968"/>
      <c r="I82" s="969"/>
    </row>
    <row r="83" spans="1:9" x14ac:dyDescent="0.2">
      <c r="A83" s="132"/>
      <c r="B83" s="752" t="s">
        <v>885</v>
      </c>
      <c r="C83" s="781"/>
      <c r="D83" s="781"/>
      <c r="E83" s="788"/>
      <c r="F83" s="283"/>
      <c r="G83" s="320"/>
      <c r="H83" s="435"/>
      <c r="I83" s="424"/>
    </row>
    <row r="84" spans="1:9" ht="24" x14ac:dyDescent="0.2">
      <c r="A84" s="160">
        <v>3</v>
      </c>
      <c r="B84" s="791" t="s">
        <v>348</v>
      </c>
      <c r="C84" s="792"/>
      <c r="D84" s="792"/>
      <c r="E84" s="809"/>
      <c r="F84" s="288" t="s">
        <v>563</v>
      </c>
      <c r="G84" s="311" t="s">
        <v>331</v>
      </c>
      <c r="H84" s="434" t="s">
        <v>563</v>
      </c>
      <c r="I84" s="401" t="s">
        <v>331</v>
      </c>
    </row>
    <row r="85" spans="1:9" x14ac:dyDescent="0.2">
      <c r="A85" s="156" t="s">
        <v>316</v>
      </c>
      <c r="B85" s="804" t="s">
        <v>996</v>
      </c>
      <c r="C85" s="679"/>
      <c r="D85" s="679"/>
      <c r="E85" s="680"/>
      <c r="F85" s="292">
        <v>4.1700000000000001E-3</v>
      </c>
      <c r="G85" s="319">
        <f>F85*(G35+G43)</f>
        <v>11.050952589560001</v>
      </c>
      <c r="H85" s="441">
        <v>4.1700000000000001E-3</v>
      </c>
      <c r="I85" s="404">
        <f>H85*(I35+I43)</f>
        <v>11.460151209000001</v>
      </c>
    </row>
    <row r="86" spans="1:9" x14ac:dyDescent="0.2">
      <c r="A86" s="156" t="s">
        <v>318</v>
      </c>
      <c r="B86" s="804" t="s">
        <v>573</v>
      </c>
      <c r="C86" s="679"/>
      <c r="D86" s="679"/>
      <c r="E86" s="680"/>
      <c r="F86" s="292">
        <f>F57*F85</f>
        <v>3.3360000000000003E-4</v>
      </c>
      <c r="G86" s="319">
        <f>F86*(G35+G43)</f>
        <v>0.88407620716480018</v>
      </c>
      <c r="H86" s="441">
        <f>H57*H85</f>
        <v>3.3360000000000003E-4</v>
      </c>
      <c r="I86" s="404">
        <f>H86*(I35+I43)</f>
        <v>0.91681209672000008</v>
      </c>
    </row>
    <row r="87" spans="1:9" x14ac:dyDescent="0.2">
      <c r="A87" s="160" t="s">
        <v>321</v>
      </c>
      <c r="B87" s="804" t="s">
        <v>997</v>
      </c>
      <c r="C87" s="679"/>
      <c r="D87" s="679"/>
      <c r="E87" s="680"/>
      <c r="F87" s="292">
        <f xml:space="preserve"> (40%+10%)*F85</f>
        <v>2.085E-3</v>
      </c>
      <c r="G87" s="319">
        <f>F87*(G35+G43)</f>
        <v>5.5254762947800007</v>
      </c>
      <c r="H87" s="441">
        <f xml:space="preserve"> (40%+10%)*H85</f>
        <v>2.085E-3</v>
      </c>
      <c r="I87" s="404">
        <f>H87*(I35+I43)</f>
        <v>5.7300756045000005</v>
      </c>
    </row>
    <row r="88" spans="1:9" ht="23.25" customHeight="1" x14ac:dyDescent="0.2">
      <c r="A88" s="160" t="s">
        <v>322</v>
      </c>
      <c r="B88" s="804" t="s">
        <v>1081</v>
      </c>
      <c r="C88" s="679"/>
      <c r="D88" s="679"/>
      <c r="E88" s="680"/>
      <c r="F88" s="292">
        <f>(7/30)/12</f>
        <v>1.9444444444444445E-2</v>
      </c>
      <c r="G88" s="319">
        <f>F88*(G35+G43)</f>
        <v>51.529888174074081</v>
      </c>
      <c r="H88" s="441">
        <f>(7/30)/12</f>
        <v>1.9444444444444445E-2</v>
      </c>
      <c r="I88" s="404">
        <f>H88*(I35+I43)</f>
        <v>53.437955277777782</v>
      </c>
    </row>
    <row r="89" spans="1:9" x14ac:dyDescent="0.2">
      <c r="A89" s="155" t="s">
        <v>333</v>
      </c>
      <c r="B89" s="804" t="s">
        <v>1070</v>
      </c>
      <c r="C89" s="679"/>
      <c r="D89" s="679"/>
      <c r="E89" s="680"/>
      <c r="F89" s="292">
        <f>F58*F88</f>
        <v>3.2258333333333332E-3</v>
      </c>
      <c r="G89" s="319">
        <f>F89*($G$35+$G$43)</f>
        <v>8.5488084480788888</v>
      </c>
      <c r="H89" s="441">
        <f>H58*H88</f>
        <v>3.2200000000000002E-3</v>
      </c>
      <c r="I89" s="404">
        <f>H89*($I$35+$I$43)</f>
        <v>8.849325394000001</v>
      </c>
    </row>
    <row r="90" spans="1:9" x14ac:dyDescent="0.2">
      <c r="A90" s="160" t="s">
        <v>334</v>
      </c>
      <c r="B90" s="804" t="s">
        <v>979</v>
      </c>
      <c r="C90" s="679"/>
      <c r="D90" s="679"/>
      <c r="E90" s="680"/>
      <c r="F90" s="288">
        <f>50%*F88</f>
        <v>9.7222222222222224E-3</v>
      </c>
      <c r="G90" s="319">
        <f>F90*($G$35+$G$43)</f>
        <v>25.764944087037041</v>
      </c>
      <c r="H90" s="434">
        <f>50%*H88</f>
        <v>9.7222222222222224E-3</v>
      </c>
      <c r="I90" s="404">
        <f>H90*($I$35+$I$43)</f>
        <v>26.718977638888891</v>
      </c>
    </row>
    <row r="91" spans="1:9" x14ac:dyDescent="0.2">
      <c r="A91" s="157"/>
      <c r="B91" s="752" t="s">
        <v>352</v>
      </c>
      <c r="C91" s="781"/>
      <c r="D91" s="781"/>
      <c r="E91" s="788"/>
      <c r="F91" s="289">
        <f>SUM(F85:F90)</f>
        <v>3.8981100000000005E-2</v>
      </c>
      <c r="G91" s="317">
        <f>SUM(G85:G90)</f>
        <v>103.30414580069481</v>
      </c>
      <c r="H91" s="438">
        <f>SUM(H85:H90)</f>
        <v>3.8975266666666668E-2</v>
      </c>
      <c r="I91" s="403">
        <f>SUM(I85:I90)</f>
        <v>107.11329722088668</v>
      </c>
    </row>
    <row r="92" spans="1:9" x14ac:dyDescent="0.2">
      <c r="A92" s="156"/>
      <c r="B92" s="86"/>
      <c r="C92" s="86"/>
      <c r="D92" s="86"/>
      <c r="E92" s="86"/>
      <c r="F92" s="299"/>
      <c r="G92" s="326"/>
      <c r="H92" s="1003"/>
      <c r="I92" s="1004"/>
    </row>
    <row r="93" spans="1:9" x14ac:dyDescent="0.2">
      <c r="A93" s="132"/>
      <c r="B93" s="752" t="s">
        <v>886</v>
      </c>
      <c r="C93" s="781"/>
      <c r="D93" s="781"/>
      <c r="E93" s="781"/>
      <c r="F93" s="785"/>
      <c r="G93" s="943"/>
      <c r="H93" s="910"/>
      <c r="I93" s="911"/>
    </row>
    <row r="94" spans="1:9" ht="24" customHeight="1" x14ac:dyDescent="0.2">
      <c r="A94" s="808" t="s">
        <v>1107</v>
      </c>
      <c r="B94" s="790"/>
      <c r="C94" s="790"/>
      <c r="D94" s="790"/>
      <c r="E94" s="790"/>
      <c r="F94" s="790"/>
      <c r="G94" s="790"/>
      <c r="H94" s="877"/>
      <c r="I94" s="878"/>
    </row>
    <row r="95" spans="1:9" x14ac:dyDescent="0.2">
      <c r="A95" s="775"/>
      <c r="B95" s="776"/>
      <c r="C95" s="776"/>
      <c r="D95" s="776"/>
      <c r="E95" s="776"/>
      <c r="F95" s="776"/>
      <c r="G95" s="776"/>
      <c r="H95" s="877"/>
      <c r="I95" s="878"/>
    </row>
    <row r="96" spans="1:9" x14ac:dyDescent="0.2">
      <c r="A96" s="678" t="s">
        <v>902</v>
      </c>
      <c r="B96" s="793"/>
      <c r="C96" s="793"/>
      <c r="D96" s="793"/>
      <c r="E96" s="793"/>
      <c r="F96" s="793"/>
      <c r="G96" s="793"/>
      <c r="H96" s="877"/>
      <c r="I96" s="878"/>
    </row>
    <row r="97" spans="1:9" ht="24" x14ac:dyDescent="0.2">
      <c r="A97" s="156" t="s">
        <v>340</v>
      </c>
      <c r="B97" s="791" t="s">
        <v>908</v>
      </c>
      <c r="C97" s="792"/>
      <c r="D97" s="792"/>
      <c r="E97" s="792"/>
      <c r="F97" s="288" t="s">
        <v>563</v>
      </c>
      <c r="G97" s="311" t="s">
        <v>331</v>
      </c>
      <c r="H97" s="434" t="s">
        <v>563</v>
      </c>
      <c r="I97" s="401" t="s">
        <v>331</v>
      </c>
    </row>
    <row r="98" spans="1:9" x14ac:dyDescent="0.2">
      <c r="A98" s="160" t="s">
        <v>316</v>
      </c>
      <c r="B98" s="804" t="s">
        <v>904</v>
      </c>
      <c r="C98" s="679"/>
      <c r="D98" s="679"/>
      <c r="E98" s="679"/>
      <c r="F98" s="288">
        <f>(8.33%+(8.33%*1/3))/12</f>
        <v>9.2555555555555551E-3</v>
      </c>
      <c r="G98" s="319">
        <f>F98*G35</f>
        <v>20.536596888888891</v>
      </c>
      <c r="H98" s="434">
        <f>(8.33%+(8.33%*1/3))/12</f>
        <v>9.2555555555555551E-3</v>
      </c>
      <c r="I98" s="404">
        <f>H98*I35</f>
        <v>21.297033333333331</v>
      </c>
    </row>
    <row r="99" spans="1:9" x14ac:dyDescent="0.2">
      <c r="A99" s="160" t="s">
        <v>318</v>
      </c>
      <c r="B99" s="804" t="s">
        <v>980</v>
      </c>
      <c r="C99" s="679"/>
      <c r="D99" s="679"/>
      <c r="E99" s="679"/>
      <c r="F99" s="288">
        <f>(1/12)/30</f>
        <v>2.7777777777777775E-3</v>
      </c>
      <c r="G99" s="319">
        <f>F99*G35</f>
        <v>6.1634444444444441</v>
      </c>
      <c r="H99" s="434">
        <f>(1/12)/30</f>
        <v>2.7777777777777775E-3</v>
      </c>
      <c r="I99" s="404">
        <f>H99*I35</f>
        <v>6.3916666666666657</v>
      </c>
    </row>
    <row r="100" spans="1:9" x14ac:dyDescent="0.2">
      <c r="A100" s="160" t="s">
        <v>321</v>
      </c>
      <c r="B100" s="804" t="s">
        <v>981</v>
      </c>
      <c r="C100" s="679"/>
      <c r="D100" s="679"/>
      <c r="E100" s="679"/>
      <c r="F100" s="294">
        <f>1.5%/12</f>
        <v>1.25E-3</v>
      </c>
      <c r="G100" s="319">
        <f>F100*G35</f>
        <v>2.7735500000000002</v>
      </c>
      <c r="H100" s="441">
        <f>1.5%/12</f>
        <v>1.25E-3</v>
      </c>
      <c r="I100" s="404">
        <f>H100*I35</f>
        <v>2.8762500000000002</v>
      </c>
    </row>
    <row r="101" spans="1:9" ht="27" customHeight="1" x14ac:dyDescent="0.2">
      <c r="A101" s="160" t="s">
        <v>322</v>
      </c>
      <c r="B101" s="804" t="s">
        <v>986</v>
      </c>
      <c r="C101" s="679"/>
      <c r="D101" s="679"/>
      <c r="E101" s="679"/>
      <c r="F101" s="292">
        <f>8%/12/2</f>
        <v>3.3333333333333335E-3</v>
      </c>
      <c r="G101" s="319">
        <f>F101*G35</f>
        <v>7.3961333333333341</v>
      </c>
      <c r="H101" s="441">
        <f>8%/12/2</f>
        <v>3.3333333333333335E-3</v>
      </c>
      <c r="I101" s="404">
        <f>H101*I35</f>
        <v>7.6700000000000008</v>
      </c>
    </row>
    <row r="102" spans="1:9" ht="27" customHeight="1" x14ac:dyDescent="0.2">
      <c r="A102" s="160" t="s">
        <v>333</v>
      </c>
      <c r="B102" s="804" t="s">
        <v>983</v>
      </c>
      <c r="C102" s="679"/>
      <c r="D102" s="679"/>
      <c r="E102" s="679"/>
      <c r="F102" s="295">
        <f>1.5%/12</f>
        <v>1.25E-3</v>
      </c>
      <c r="G102" s="319">
        <f>F102*G35</f>
        <v>2.7735500000000002</v>
      </c>
      <c r="H102" s="442">
        <f>1.5%/12</f>
        <v>1.25E-3</v>
      </c>
      <c r="I102" s="404">
        <f>H102*I35</f>
        <v>2.8762500000000002</v>
      </c>
    </row>
    <row r="103" spans="1:9" x14ac:dyDescent="0.2">
      <c r="A103" s="160" t="s">
        <v>334</v>
      </c>
      <c r="B103" s="804" t="s">
        <v>907</v>
      </c>
      <c r="C103" s="679"/>
      <c r="D103" s="679"/>
      <c r="E103" s="679"/>
      <c r="F103" s="288">
        <f>(5/12)/30</f>
        <v>1.388888888888889E-2</v>
      </c>
      <c r="G103" s="319">
        <f>F103*G35</f>
        <v>30.817222222222227</v>
      </c>
      <c r="H103" s="434">
        <f>(5/12)/30</f>
        <v>1.388888888888889E-2</v>
      </c>
      <c r="I103" s="404">
        <f>H103*I35</f>
        <v>31.958333333333336</v>
      </c>
    </row>
    <row r="104" spans="1:9" x14ac:dyDescent="0.2">
      <c r="A104" s="157"/>
      <c r="B104" s="752" t="s">
        <v>352</v>
      </c>
      <c r="C104" s="781"/>
      <c r="D104" s="781"/>
      <c r="E104" s="788"/>
      <c r="F104" s="289">
        <f>SUM(F98:F103)</f>
        <v>3.1755555555555558E-2</v>
      </c>
      <c r="G104" s="317">
        <f>SUM(G98:G103)</f>
        <v>70.460496888888898</v>
      </c>
      <c r="H104" s="438">
        <f>SUM(H98:H103)</f>
        <v>3.1755555555555558E-2</v>
      </c>
      <c r="I104" s="403">
        <f>SUM(I98:I103)</f>
        <v>73.069533333333339</v>
      </c>
    </row>
    <row r="105" spans="1:9" ht="16.5" customHeight="1" x14ac:dyDescent="0.2">
      <c r="A105" s="789" t="s">
        <v>1109</v>
      </c>
      <c r="B105" s="790"/>
      <c r="C105" s="790"/>
      <c r="D105" s="790"/>
      <c r="E105" s="790"/>
      <c r="F105" s="790"/>
      <c r="G105" s="790"/>
      <c r="H105" s="877"/>
      <c r="I105" s="878"/>
    </row>
    <row r="106" spans="1:9" x14ac:dyDescent="0.2">
      <c r="A106" s="158"/>
      <c r="B106" s="77"/>
      <c r="C106" s="77"/>
      <c r="D106" s="77"/>
      <c r="E106" s="77"/>
      <c r="F106" s="290"/>
      <c r="G106" s="307"/>
      <c r="H106" s="944"/>
      <c r="I106" s="945"/>
    </row>
    <row r="107" spans="1:9" x14ac:dyDescent="0.2">
      <c r="A107" s="678" t="s">
        <v>911</v>
      </c>
      <c r="B107" s="793"/>
      <c r="C107" s="793"/>
      <c r="D107" s="793"/>
      <c r="E107" s="793"/>
      <c r="F107" s="793"/>
      <c r="G107" s="793"/>
      <c r="H107" s="944"/>
      <c r="I107" s="945"/>
    </row>
    <row r="108" spans="1:9" ht="24" x14ac:dyDescent="0.2">
      <c r="A108" s="160" t="s">
        <v>347</v>
      </c>
      <c r="B108" s="791" t="s">
        <v>912</v>
      </c>
      <c r="C108" s="792"/>
      <c r="D108" s="792"/>
      <c r="E108" s="809"/>
      <c r="F108" s="288" t="s">
        <v>563</v>
      </c>
      <c r="G108" s="311" t="s">
        <v>331</v>
      </c>
      <c r="H108" s="434" t="s">
        <v>563</v>
      </c>
      <c r="I108" s="401" t="s">
        <v>331</v>
      </c>
    </row>
    <row r="109" spans="1:9" x14ac:dyDescent="0.2">
      <c r="A109" s="160" t="s">
        <v>316</v>
      </c>
      <c r="B109" s="804" t="s">
        <v>913</v>
      </c>
      <c r="C109" s="679"/>
      <c r="D109" s="679"/>
      <c r="E109" s="680"/>
      <c r="F109" s="940"/>
      <c r="G109" s="941"/>
      <c r="H109" s="914"/>
      <c r="I109" s="915"/>
    </row>
    <row r="110" spans="1:9" x14ac:dyDescent="0.2">
      <c r="A110" s="157"/>
      <c r="B110" s="752" t="s">
        <v>352</v>
      </c>
      <c r="C110" s="781"/>
      <c r="D110" s="781"/>
      <c r="E110" s="788"/>
      <c r="F110" s="912"/>
      <c r="G110" s="942"/>
      <c r="H110" s="916"/>
      <c r="I110" s="917"/>
    </row>
    <row r="111" spans="1:9" ht="13.5" customHeight="1" x14ac:dyDescent="0.2">
      <c r="A111" s="789" t="s">
        <v>1149</v>
      </c>
      <c r="B111" s="790"/>
      <c r="C111" s="790"/>
      <c r="D111" s="790"/>
      <c r="E111" s="790"/>
      <c r="F111" s="790"/>
      <c r="G111" s="790"/>
      <c r="H111" s="877"/>
      <c r="I111" s="878"/>
    </row>
    <row r="112" spans="1:9" x14ac:dyDescent="0.2">
      <c r="A112" s="775"/>
      <c r="B112" s="776"/>
      <c r="C112" s="776"/>
      <c r="D112" s="776"/>
      <c r="E112" s="776"/>
      <c r="F112" s="776"/>
      <c r="G112" s="776"/>
      <c r="H112" s="877"/>
      <c r="I112" s="878"/>
    </row>
    <row r="113" spans="1:9" x14ac:dyDescent="0.2">
      <c r="A113" s="157"/>
      <c r="B113" s="752" t="s">
        <v>887</v>
      </c>
      <c r="C113" s="781"/>
      <c r="D113" s="781"/>
      <c r="E113" s="781"/>
      <c r="F113" s="785"/>
      <c r="G113" s="943"/>
      <c r="H113" s="910"/>
      <c r="I113" s="911"/>
    </row>
    <row r="114" spans="1:9" ht="24" x14ac:dyDescent="0.2">
      <c r="A114" s="160">
        <v>4</v>
      </c>
      <c r="B114" s="820" t="s">
        <v>574</v>
      </c>
      <c r="C114" s="820"/>
      <c r="D114" s="820"/>
      <c r="E114" s="820"/>
      <c r="F114" s="288" t="s">
        <v>563</v>
      </c>
      <c r="G114" s="311" t="s">
        <v>331</v>
      </c>
      <c r="H114" s="434" t="s">
        <v>563</v>
      </c>
      <c r="I114" s="401" t="s">
        <v>331</v>
      </c>
    </row>
    <row r="115" spans="1:9" x14ac:dyDescent="0.2">
      <c r="A115" s="160" t="s">
        <v>340</v>
      </c>
      <c r="B115" s="819" t="s">
        <v>908</v>
      </c>
      <c r="C115" s="819"/>
      <c r="D115" s="819"/>
      <c r="E115" s="819"/>
      <c r="F115" s="288">
        <f>F104</f>
        <v>3.1755555555555558E-2</v>
      </c>
      <c r="G115" s="321">
        <f>G104</f>
        <v>70.460496888888898</v>
      </c>
      <c r="H115" s="434">
        <f>H104</f>
        <v>3.1755555555555558E-2</v>
      </c>
      <c r="I115" s="409">
        <f>I104</f>
        <v>73.069533333333339</v>
      </c>
    </row>
    <row r="116" spans="1:9" x14ac:dyDescent="0.2">
      <c r="A116" s="160" t="s">
        <v>347</v>
      </c>
      <c r="B116" s="819" t="s">
        <v>912</v>
      </c>
      <c r="C116" s="819"/>
      <c r="D116" s="819"/>
      <c r="E116" s="819"/>
      <c r="F116" s="288"/>
      <c r="G116" s="325"/>
      <c r="H116" s="434"/>
      <c r="I116" s="415"/>
    </row>
    <row r="117" spans="1:9" x14ac:dyDescent="0.2">
      <c r="A117" s="157"/>
      <c r="B117" s="752" t="s">
        <v>352</v>
      </c>
      <c r="C117" s="781"/>
      <c r="D117" s="781"/>
      <c r="E117" s="788"/>
      <c r="F117" s="289"/>
      <c r="G117" s="317">
        <f>SUM(G115:G116)</f>
        <v>70.460496888888898</v>
      </c>
      <c r="H117" s="438"/>
      <c r="I117" s="403">
        <f>SUM(I115:I116)</f>
        <v>73.069533333333339</v>
      </c>
    </row>
    <row r="118" spans="1:9" x14ac:dyDescent="0.2">
      <c r="A118" s="156"/>
      <c r="B118" s="86"/>
      <c r="C118" s="86"/>
      <c r="D118" s="86"/>
      <c r="E118" s="86"/>
      <c r="F118" s="291"/>
      <c r="G118" s="326"/>
      <c r="H118" s="918"/>
      <c r="I118" s="919"/>
    </row>
    <row r="119" spans="1:9" x14ac:dyDescent="0.2">
      <c r="A119" s="132"/>
      <c r="B119" s="752" t="s">
        <v>896</v>
      </c>
      <c r="C119" s="781"/>
      <c r="D119" s="781"/>
      <c r="E119" s="781"/>
      <c r="F119" s="781"/>
      <c r="G119" s="320"/>
      <c r="H119" s="419"/>
      <c r="I119" s="424"/>
    </row>
    <row r="120" spans="1:9" x14ac:dyDescent="0.2">
      <c r="A120" s="160">
        <v>5</v>
      </c>
      <c r="B120" s="678" t="s">
        <v>338</v>
      </c>
      <c r="C120" s="793"/>
      <c r="D120" s="793"/>
      <c r="E120" s="793"/>
      <c r="F120" s="818"/>
      <c r="G120" s="311" t="s">
        <v>331</v>
      </c>
      <c r="H120" s="380"/>
      <c r="I120" s="401" t="s">
        <v>331</v>
      </c>
    </row>
    <row r="121" spans="1:9" x14ac:dyDescent="0.2">
      <c r="A121" s="160" t="s">
        <v>316</v>
      </c>
      <c r="B121" s="804" t="s">
        <v>339</v>
      </c>
      <c r="C121" s="679"/>
      <c r="D121" s="679"/>
      <c r="E121" s="679"/>
      <c r="F121" s="680"/>
      <c r="G121" s="327">
        <f>Uniformes!J23</f>
        <v>55.335000000000008</v>
      </c>
      <c r="H121" s="395"/>
      <c r="I121" s="414">
        <f>Uniformes!J23</f>
        <v>55.335000000000008</v>
      </c>
    </row>
    <row r="122" spans="1:9" x14ac:dyDescent="0.2">
      <c r="A122" s="160" t="s">
        <v>318</v>
      </c>
      <c r="B122" s="804" t="s">
        <v>583</v>
      </c>
      <c r="C122" s="679"/>
      <c r="D122" s="679"/>
      <c r="E122" s="679"/>
      <c r="F122" s="680"/>
      <c r="G122" s="327"/>
      <c r="H122" s="395"/>
      <c r="I122" s="414"/>
    </row>
    <row r="123" spans="1:9" x14ac:dyDescent="0.2">
      <c r="A123" s="156" t="s">
        <v>321</v>
      </c>
      <c r="B123" s="804" t="s">
        <v>584</v>
      </c>
      <c r="C123" s="679"/>
      <c r="D123" s="679"/>
      <c r="E123" s="679"/>
      <c r="F123" s="680"/>
      <c r="G123" s="327">
        <f>'Ferramentas - Equipts'!F110</f>
        <v>44.99</v>
      </c>
      <c r="H123" s="395"/>
      <c r="I123" s="414">
        <f>'Ferramentas - Equipts'!F110</f>
        <v>44.99</v>
      </c>
    </row>
    <row r="124" spans="1:9" x14ac:dyDescent="0.2">
      <c r="A124" s="156" t="s">
        <v>322</v>
      </c>
      <c r="B124" s="804" t="s">
        <v>575</v>
      </c>
      <c r="C124" s="679"/>
      <c r="D124" s="679"/>
      <c r="E124" s="679"/>
      <c r="F124" s="680"/>
      <c r="G124" s="327"/>
      <c r="H124" s="395"/>
      <c r="I124" s="414"/>
    </row>
    <row r="125" spans="1:9" x14ac:dyDescent="0.2">
      <c r="A125" s="157"/>
      <c r="B125" s="752" t="s">
        <v>352</v>
      </c>
      <c r="C125" s="781"/>
      <c r="D125" s="781"/>
      <c r="E125" s="781"/>
      <c r="F125" s="788"/>
      <c r="G125" s="317">
        <f>SUM(G121:G124)</f>
        <v>100.32500000000002</v>
      </c>
      <c r="H125" s="389"/>
      <c r="I125" s="403">
        <f>SUM(I121:I124)</f>
        <v>100.32500000000002</v>
      </c>
    </row>
    <row r="126" spans="1:9" x14ac:dyDescent="0.2">
      <c r="A126" s="845" t="s">
        <v>1035</v>
      </c>
      <c r="B126" s="846"/>
      <c r="C126" s="846"/>
      <c r="D126" s="846"/>
      <c r="E126" s="846"/>
      <c r="F126" s="846"/>
      <c r="G126" s="846"/>
      <c r="H126" s="877"/>
      <c r="I126" s="878"/>
    </row>
    <row r="127" spans="1:9" x14ac:dyDescent="0.2">
      <c r="A127" s="128"/>
      <c r="B127" s="84"/>
      <c r="C127" s="84"/>
      <c r="D127" s="84"/>
      <c r="E127" s="84"/>
      <c r="F127" s="291"/>
      <c r="G127" s="328"/>
      <c r="H127" s="877"/>
      <c r="I127" s="878"/>
    </row>
    <row r="128" spans="1:9" x14ac:dyDescent="0.2">
      <c r="A128" s="157"/>
      <c r="B128" s="769" t="s">
        <v>891</v>
      </c>
      <c r="C128" s="769"/>
      <c r="D128" s="769"/>
      <c r="E128" s="769"/>
      <c r="F128" s="769"/>
      <c r="G128" s="253"/>
      <c r="H128" s="754"/>
      <c r="I128" s="755"/>
    </row>
    <row r="129" spans="1:9" x14ac:dyDescent="0.2">
      <c r="A129" s="160">
        <v>6</v>
      </c>
      <c r="B129" s="820" t="s">
        <v>349</v>
      </c>
      <c r="C129" s="820"/>
      <c r="D129" s="820"/>
      <c r="E129" s="874" t="s">
        <v>563</v>
      </c>
      <c r="F129" s="874"/>
      <c r="G129" s="329" t="s">
        <v>331</v>
      </c>
      <c r="H129" s="396"/>
      <c r="I129" s="402" t="s">
        <v>331</v>
      </c>
    </row>
    <row r="130" spans="1:9" ht="12.75" customHeight="1" x14ac:dyDescent="0.2">
      <c r="A130" s="160" t="s">
        <v>316</v>
      </c>
      <c r="B130" s="804" t="s">
        <v>350</v>
      </c>
      <c r="C130" s="679"/>
      <c r="D130" s="680"/>
      <c r="E130" s="847">
        <f>ADM</f>
        <v>2.3199999999999998E-2</v>
      </c>
      <c r="F130" s="848"/>
      <c r="G130" s="327">
        <f>(G35+G81+G91+G117+G125)*E130</f>
        <v>92.65807584883855</v>
      </c>
      <c r="H130" s="395"/>
      <c r="I130" s="414">
        <f>(I35+I81+I91+I117+I125)*E130</f>
        <v>96.042292994745907</v>
      </c>
    </row>
    <row r="131" spans="1:9" ht="12.75" customHeight="1" x14ac:dyDescent="0.2">
      <c r="A131" s="160" t="s">
        <v>318</v>
      </c>
      <c r="B131" s="804" t="s">
        <v>576</v>
      </c>
      <c r="C131" s="679"/>
      <c r="D131" s="680"/>
      <c r="E131" s="847">
        <f>LUCRO_ENGEMIL</f>
        <v>2.3300000000000001E-2</v>
      </c>
      <c r="F131" s="848"/>
      <c r="G131" s="327">
        <f>(G35+G81+G91+G117+G125+G130)*E131</f>
        <v>95.216397274085622</v>
      </c>
      <c r="H131" s="395"/>
      <c r="I131" s="414">
        <f>(I35+I81+I91+I117+I125+I130)*E131</f>
        <v>98.694053822362932</v>
      </c>
    </row>
    <row r="132" spans="1:9" x14ac:dyDescent="0.2">
      <c r="A132" s="160" t="s">
        <v>321</v>
      </c>
      <c r="B132" s="804" t="s">
        <v>351</v>
      </c>
      <c r="C132" s="679"/>
      <c r="D132" s="680"/>
      <c r="E132" s="847">
        <f>SUM(E133:F134)</f>
        <v>0.10150000000000001</v>
      </c>
      <c r="F132" s="848"/>
      <c r="G132" s="325"/>
      <c r="H132" s="397"/>
      <c r="I132" s="415"/>
    </row>
    <row r="133" spans="1:9" ht="24.75" customHeight="1" x14ac:dyDescent="0.2">
      <c r="A133" s="143"/>
      <c r="B133" s="819" t="s">
        <v>971</v>
      </c>
      <c r="C133" s="819"/>
      <c r="D133" s="819"/>
      <c r="E133" s="847">
        <v>8.1500000000000003E-2</v>
      </c>
      <c r="F133" s="848"/>
      <c r="G133" s="327">
        <f>E133*G147</f>
        <v>379.31352231982271</v>
      </c>
      <c r="H133" s="395"/>
      <c r="I133" s="414">
        <f>E133*I147</f>
        <v>393.1674612684734</v>
      </c>
    </row>
    <row r="134" spans="1:9" ht="12.75" customHeight="1" x14ac:dyDescent="0.2">
      <c r="A134" s="143"/>
      <c r="B134" s="819" t="s">
        <v>972</v>
      </c>
      <c r="C134" s="819"/>
      <c r="D134" s="819"/>
      <c r="E134" s="847">
        <v>0.02</v>
      </c>
      <c r="F134" s="848"/>
      <c r="G134" s="327">
        <f>E134*G147</f>
        <v>93.083072961919683</v>
      </c>
      <c r="H134" s="395"/>
      <c r="I134" s="414">
        <f>E134*I147</f>
        <v>96.482812581220458</v>
      </c>
    </row>
    <row r="135" spans="1:9" x14ac:dyDescent="0.2">
      <c r="A135" s="157"/>
      <c r="B135" s="752" t="s">
        <v>352</v>
      </c>
      <c r="C135" s="781"/>
      <c r="D135" s="788"/>
      <c r="E135" s="849">
        <f>E130+E131+E132</f>
        <v>0.14800000000000002</v>
      </c>
      <c r="F135" s="788"/>
      <c r="G135" s="330">
        <f>SUM(G130:G134)</f>
        <v>660.27106840466661</v>
      </c>
      <c r="H135" s="389"/>
      <c r="I135" s="403">
        <f>SUM(I130:I134)</f>
        <v>684.38662066680263</v>
      </c>
    </row>
    <row r="136" spans="1:9" x14ac:dyDescent="0.2">
      <c r="A136" s="845" t="s">
        <v>1036</v>
      </c>
      <c r="B136" s="846"/>
      <c r="C136" s="846"/>
      <c r="D136" s="846"/>
      <c r="E136" s="846"/>
      <c r="F136" s="846"/>
      <c r="G136" s="846"/>
      <c r="H136" s="877"/>
      <c r="I136" s="878"/>
    </row>
    <row r="137" spans="1:9" x14ac:dyDescent="0.2">
      <c r="A137" s="845" t="s">
        <v>1040</v>
      </c>
      <c r="B137" s="846"/>
      <c r="C137" s="846"/>
      <c r="D137" s="846"/>
      <c r="E137" s="846"/>
      <c r="F137" s="846"/>
      <c r="G137" s="846"/>
      <c r="H137" s="877"/>
      <c r="I137" s="878"/>
    </row>
    <row r="138" spans="1:9" x14ac:dyDescent="0.2">
      <c r="A138" s="132"/>
      <c r="B138" s="781" t="s">
        <v>577</v>
      </c>
      <c r="C138" s="781"/>
      <c r="D138" s="781"/>
      <c r="E138" s="781"/>
      <c r="F138" s="781"/>
      <c r="G138" s="320"/>
      <c r="H138" s="754"/>
      <c r="I138" s="755"/>
    </row>
    <row r="139" spans="1:9" x14ac:dyDescent="0.2">
      <c r="A139" s="160"/>
      <c r="B139" s="791" t="s">
        <v>353</v>
      </c>
      <c r="C139" s="792"/>
      <c r="D139" s="792"/>
      <c r="E139" s="792"/>
      <c r="F139" s="809"/>
      <c r="G139" s="310" t="s">
        <v>354</v>
      </c>
      <c r="H139" s="398"/>
      <c r="I139" s="417" t="s">
        <v>354</v>
      </c>
    </row>
    <row r="140" spans="1:9" x14ac:dyDescent="0.2">
      <c r="A140" s="160" t="s">
        <v>316</v>
      </c>
      <c r="B140" s="844" t="s">
        <v>947</v>
      </c>
      <c r="C140" s="842"/>
      <c r="D140" s="842"/>
      <c r="E140" s="842"/>
      <c r="F140" s="843"/>
      <c r="G140" s="331">
        <f>G35</f>
        <v>2218.84</v>
      </c>
      <c r="H140" s="399"/>
      <c r="I140" s="418">
        <f>I35</f>
        <v>2301</v>
      </c>
    </row>
    <row r="141" spans="1:9" x14ac:dyDescent="0.2">
      <c r="A141" s="160" t="s">
        <v>318</v>
      </c>
      <c r="B141" s="844" t="s">
        <v>968</v>
      </c>
      <c r="C141" s="842"/>
      <c r="D141" s="842"/>
      <c r="E141" s="842"/>
      <c r="F141" s="843"/>
      <c r="G141" s="331">
        <f>G81</f>
        <v>1500.9529370017335</v>
      </c>
      <c r="H141" s="399"/>
      <c r="I141" s="418">
        <f>I81</f>
        <v>1558.24617784</v>
      </c>
    </row>
    <row r="142" spans="1:9" x14ac:dyDescent="0.2">
      <c r="A142" s="160" t="s">
        <v>321</v>
      </c>
      <c r="B142" s="844" t="s">
        <v>970</v>
      </c>
      <c r="C142" s="842"/>
      <c r="D142" s="842"/>
      <c r="E142" s="842"/>
      <c r="F142" s="843"/>
      <c r="G142" s="331">
        <f>G91</f>
        <v>103.30414580069481</v>
      </c>
      <c r="H142" s="399"/>
      <c r="I142" s="418">
        <f>I91</f>
        <v>107.11329722088668</v>
      </c>
    </row>
    <row r="143" spans="1:9" x14ac:dyDescent="0.2">
      <c r="A143" s="160" t="s">
        <v>322</v>
      </c>
      <c r="B143" s="844" t="s">
        <v>964</v>
      </c>
      <c r="C143" s="842"/>
      <c r="D143" s="842"/>
      <c r="E143" s="842"/>
      <c r="F143" s="843"/>
      <c r="G143" s="331">
        <f>G117</f>
        <v>70.460496888888898</v>
      </c>
      <c r="H143" s="399"/>
      <c r="I143" s="418">
        <f>I117</f>
        <v>73.069533333333339</v>
      </c>
    </row>
    <row r="144" spans="1:9" x14ac:dyDescent="0.2">
      <c r="A144" s="160" t="s">
        <v>333</v>
      </c>
      <c r="B144" s="842" t="s">
        <v>969</v>
      </c>
      <c r="C144" s="842"/>
      <c r="D144" s="842"/>
      <c r="E144" s="842"/>
      <c r="F144" s="843"/>
      <c r="G144" s="331">
        <f>G125</f>
        <v>100.32500000000002</v>
      </c>
      <c r="H144" s="399"/>
      <c r="I144" s="418">
        <f>I125</f>
        <v>100.32500000000002</v>
      </c>
    </row>
    <row r="145" spans="1:9" x14ac:dyDescent="0.2">
      <c r="A145" s="137"/>
      <c r="B145" s="822" t="s">
        <v>578</v>
      </c>
      <c r="C145" s="822"/>
      <c r="D145" s="822"/>
      <c r="E145" s="822"/>
      <c r="F145" s="823"/>
      <c r="G145" s="331">
        <f>SUM(G140:G144)</f>
        <v>3993.882579691317</v>
      </c>
      <c r="H145" s="399"/>
      <c r="I145" s="418">
        <f>SUM(I140:I144)</f>
        <v>4139.7540083942204</v>
      </c>
    </row>
    <row r="146" spans="1:9" x14ac:dyDescent="0.2">
      <c r="A146" s="136" t="s">
        <v>334</v>
      </c>
      <c r="B146" s="844" t="s">
        <v>965</v>
      </c>
      <c r="C146" s="842"/>
      <c r="D146" s="842"/>
      <c r="E146" s="842"/>
      <c r="F146" s="843"/>
      <c r="G146" s="331">
        <f>G135</f>
        <v>660.27106840466661</v>
      </c>
      <c r="H146" s="399"/>
      <c r="I146" s="418">
        <f>I135</f>
        <v>684.38662066680263</v>
      </c>
    </row>
    <row r="147" spans="1:9" ht="16.5" thickBot="1" x14ac:dyDescent="0.25">
      <c r="A147" s="89"/>
      <c r="B147" s="766" t="s">
        <v>355</v>
      </c>
      <c r="C147" s="767"/>
      <c r="D147" s="767"/>
      <c r="E147" s="767"/>
      <c r="F147" s="768"/>
      <c r="G147" s="428">
        <f>(G130+G131+G145)/(1-E132)</f>
        <v>4654.153648095984</v>
      </c>
      <c r="H147" s="429"/>
      <c r="I147" s="430">
        <f>(I130+I131+I145)/(1-E132)</f>
        <v>4824.140629061023</v>
      </c>
    </row>
  </sheetData>
  <mergeCells count="221">
    <mergeCell ref="H5:I9"/>
    <mergeCell ref="H14:I14"/>
    <mergeCell ref="H19:I19"/>
    <mergeCell ref="B116:E116"/>
    <mergeCell ref="B113:E113"/>
    <mergeCell ref="B71:F71"/>
    <mergeCell ref="B72:F72"/>
    <mergeCell ref="A73:G73"/>
    <mergeCell ref="H11:I11"/>
    <mergeCell ref="H12:I12"/>
    <mergeCell ref="H13:I13"/>
    <mergeCell ref="H15:I15"/>
    <mergeCell ref="H16:I16"/>
    <mergeCell ref="H17:I18"/>
    <mergeCell ref="H22:I22"/>
    <mergeCell ref="H23:I23"/>
    <mergeCell ref="H20:I21"/>
    <mergeCell ref="A63:G63"/>
    <mergeCell ref="B64:F64"/>
    <mergeCell ref="A74:G74"/>
    <mergeCell ref="B76:F76"/>
    <mergeCell ref="B53:E53"/>
    <mergeCell ref="A46:G46"/>
    <mergeCell ref="A47:G47"/>
    <mergeCell ref="E134:F134"/>
    <mergeCell ref="F17:G18"/>
    <mergeCell ref="A2:G3"/>
    <mergeCell ref="A4:G4"/>
    <mergeCell ref="A5:G5"/>
    <mergeCell ref="B119:F119"/>
    <mergeCell ref="A94:G94"/>
    <mergeCell ref="A107:G107"/>
    <mergeCell ref="A105:G105"/>
    <mergeCell ref="A96:G96"/>
    <mergeCell ref="A95:G95"/>
    <mergeCell ref="B108:E108"/>
    <mergeCell ref="B109:E109"/>
    <mergeCell ref="B98:E98"/>
    <mergeCell ref="B99:E99"/>
    <mergeCell ref="B100:E100"/>
    <mergeCell ref="B101:E101"/>
    <mergeCell ref="B102:E102"/>
    <mergeCell ref="B117:E117"/>
    <mergeCell ref="B128:F128"/>
    <mergeCell ref="B70:F70"/>
    <mergeCell ref="A59:G59"/>
    <mergeCell ref="A60:G60"/>
    <mergeCell ref="A61:G61"/>
    <mergeCell ref="B146:F146"/>
    <mergeCell ref="B139:F139"/>
    <mergeCell ref="B140:F140"/>
    <mergeCell ref="B141:F141"/>
    <mergeCell ref="B120:F120"/>
    <mergeCell ref="B121:F121"/>
    <mergeCell ref="B122:F122"/>
    <mergeCell ref="B123:F123"/>
    <mergeCell ref="B125:F125"/>
    <mergeCell ref="B135:D135"/>
    <mergeCell ref="B129:D129"/>
    <mergeCell ref="E129:F129"/>
    <mergeCell ref="B130:D130"/>
    <mergeCell ref="E130:F130"/>
    <mergeCell ref="B131:D131"/>
    <mergeCell ref="E131:F131"/>
    <mergeCell ref="B124:F124"/>
    <mergeCell ref="E135:F135"/>
    <mergeCell ref="A136:G136"/>
    <mergeCell ref="A137:G137"/>
    <mergeCell ref="B132:D132"/>
    <mergeCell ref="E132:F132"/>
    <mergeCell ref="B133:D133"/>
    <mergeCell ref="E133:F133"/>
    <mergeCell ref="B138:F138"/>
    <mergeCell ref="B145:F145"/>
    <mergeCell ref="B97:E97"/>
    <mergeCell ref="B88:E88"/>
    <mergeCell ref="B89:E89"/>
    <mergeCell ref="B90:E90"/>
    <mergeCell ref="A82:G82"/>
    <mergeCell ref="B84:E84"/>
    <mergeCell ref="B85:E85"/>
    <mergeCell ref="B86:E86"/>
    <mergeCell ref="B87:E87"/>
    <mergeCell ref="B91:E91"/>
    <mergeCell ref="B83:E83"/>
    <mergeCell ref="B93:E93"/>
    <mergeCell ref="F113:G113"/>
    <mergeCell ref="B114:E114"/>
    <mergeCell ref="B115:E115"/>
    <mergeCell ref="F109:G109"/>
    <mergeCell ref="F110:G110"/>
    <mergeCell ref="B142:F142"/>
    <mergeCell ref="B143:F143"/>
    <mergeCell ref="B144:F144"/>
    <mergeCell ref="B134:D134"/>
    <mergeCell ref="A126:G126"/>
    <mergeCell ref="A1:G1"/>
    <mergeCell ref="B29:E29"/>
    <mergeCell ref="B30:E30"/>
    <mergeCell ref="B31:E31"/>
    <mergeCell ref="B32:E32"/>
    <mergeCell ref="B33:E33"/>
    <mergeCell ref="B25:E25"/>
    <mergeCell ref="F25:G25"/>
    <mergeCell ref="B26:E26"/>
    <mergeCell ref="F26:G26"/>
    <mergeCell ref="B27:E27"/>
    <mergeCell ref="A6:G6"/>
    <mergeCell ref="B12:E12"/>
    <mergeCell ref="F12:G12"/>
    <mergeCell ref="A9:G9"/>
    <mergeCell ref="B10:E10"/>
    <mergeCell ref="F10:G10"/>
    <mergeCell ref="A7:G7"/>
    <mergeCell ref="A8:G8"/>
    <mergeCell ref="B13:E13"/>
    <mergeCell ref="F13:G13"/>
    <mergeCell ref="A14:G14"/>
    <mergeCell ref="A17:E17"/>
    <mergeCell ref="A18:E18"/>
    <mergeCell ref="A15:D15"/>
    <mergeCell ref="F15:G15"/>
    <mergeCell ref="A19:G19"/>
    <mergeCell ref="A20:G20"/>
    <mergeCell ref="B28:E28"/>
    <mergeCell ref="B11:E11"/>
    <mergeCell ref="F11:G11"/>
    <mergeCell ref="B147:F147"/>
    <mergeCell ref="A21:G21"/>
    <mergeCell ref="B22:E22"/>
    <mergeCell ref="F22:G22"/>
    <mergeCell ref="B23:E23"/>
    <mergeCell ref="F23:G23"/>
    <mergeCell ref="B24:E24"/>
    <mergeCell ref="F24:G24"/>
    <mergeCell ref="A16:D16"/>
    <mergeCell ref="F16:G16"/>
    <mergeCell ref="A39:G39"/>
    <mergeCell ref="B40:F40"/>
    <mergeCell ref="B41:E41"/>
    <mergeCell ref="B42:E42"/>
    <mergeCell ref="A44:G44"/>
    <mergeCell ref="B34:E34"/>
    <mergeCell ref="B35:E35"/>
    <mergeCell ref="F27:G27"/>
    <mergeCell ref="B103:E103"/>
    <mergeCell ref="B104:E104"/>
    <mergeCell ref="A48:G48"/>
    <mergeCell ref="B49:E49"/>
    <mergeCell ref="B50:E50"/>
    <mergeCell ref="B51:E51"/>
    <mergeCell ref="B52:E52"/>
    <mergeCell ref="F93:G93"/>
    <mergeCell ref="B54:E54"/>
    <mergeCell ref="B55:E55"/>
    <mergeCell ref="B56:E56"/>
    <mergeCell ref="B57:E57"/>
    <mergeCell ref="B68:F68"/>
    <mergeCell ref="B69:F69"/>
    <mergeCell ref="H93:I93"/>
    <mergeCell ref="H27:I27"/>
    <mergeCell ref="H36:I36"/>
    <mergeCell ref="H37:I37"/>
    <mergeCell ref="F38:G38"/>
    <mergeCell ref="H38:I38"/>
    <mergeCell ref="H44:I44"/>
    <mergeCell ref="H45:I45"/>
    <mergeCell ref="H46:I46"/>
    <mergeCell ref="A37:G37"/>
    <mergeCell ref="A36:G36"/>
    <mergeCell ref="B43:E43"/>
    <mergeCell ref="B38:E38"/>
    <mergeCell ref="A45:G45"/>
    <mergeCell ref="B58:E58"/>
    <mergeCell ref="B65:F65"/>
    <mergeCell ref="B66:F66"/>
    <mergeCell ref="B67:F67"/>
    <mergeCell ref="H60:I60"/>
    <mergeCell ref="H61:I61"/>
    <mergeCell ref="H62:I62"/>
    <mergeCell ref="H63:I63"/>
    <mergeCell ref="H73:I73"/>
    <mergeCell ref="H74:I74"/>
    <mergeCell ref="H94:I94"/>
    <mergeCell ref="H95:I95"/>
    <mergeCell ref="H96:I96"/>
    <mergeCell ref="B77:F77"/>
    <mergeCell ref="B78:F78"/>
    <mergeCell ref="B79:F79"/>
    <mergeCell ref="B80:F80"/>
    <mergeCell ref="H2:I4"/>
    <mergeCell ref="H113:I113"/>
    <mergeCell ref="H75:I75"/>
    <mergeCell ref="H76:I76"/>
    <mergeCell ref="H82:I82"/>
    <mergeCell ref="H92:I92"/>
    <mergeCell ref="H24:I24"/>
    <mergeCell ref="H25:I25"/>
    <mergeCell ref="H26:I26"/>
    <mergeCell ref="H10:I10"/>
    <mergeCell ref="B110:E110"/>
    <mergeCell ref="B81:F81"/>
    <mergeCell ref="A112:G112"/>
    <mergeCell ref="A111:G111"/>
    <mergeCell ref="H47:I47"/>
    <mergeCell ref="H48:I48"/>
    <mergeCell ref="H59:I59"/>
    <mergeCell ref="H118:I118"/>
    <mergeCell ref="H126:I126"/>
    <mergeCell ref="H127:I127"/>
    <mergeCell ref="H128:I128"/>
    <mergeCell ref="H136:I136"/>
    <mergeCell ref="H137:I137"/>
    <mergeCell ref="H138:I138"/>
    <mergeCell ref="H105:I105"/>
    <mergeCell ref="H106:I106"/>
    <mergeCell ref="H107:I107"/>
    <mergeCell ref="H109:I109"/>
    <mergeCell ref="H110:I110"/>
    <mergeCell ref="H111:I111"/>
    <mergeCell ref="H112:I112"/>
  </mergeCells>
  <printOptions horizontalCentered="1"/>
  <pageMargins left="0.53149606299212604" right="0.53149606299212604" top="1.1811023622047245" bottom="0.98425196850393704" header="0" footer="0"/>
  <pageSetup paperSize="9" scale="67"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L147"/>
  <sheetViews>
    <sheetView view="pageBreakPreview" topLeftCell="A32" zoomScale="120" zoomScaleNormal="150" zoomScaleSheetLayoutView="120" workbookViewId="0">
      <selection activeCell="K48" sqref="K48"/>
    </sheetView>
  </sheetViews>
  <sheetFormatPr defaultRowHeight="12.75" x14ac:dyDescent="0.2"/>
  <cols>
    <col min="1" max="1" width="7.42578125" style="144" customWidth="1"/>
    <col min="2" max="2" width="11.28515625" style="91" customWidth="1"/>
    <col min="3" max="3" width="11.85546875" style="91" customWidth="1"/>
    <col min="4" max="4" width="21.28515625" style="91" customWidth="1"/>
    <col min="5" max="5" width="30.140625" style="91" customWidth="1"/>
    <col min="6" max="6" width="12" style="298" customWidth="1"/>
    <col min="7" max="7" width="17.85546875" style="91" customWidth="1"/>
    <col min="8" max="8" width="12" style="431" customWidth="1"/>
    <col min="9" max="9" width="17.85546875" style="427" customWidth="1"/>
    <col min="10" max="16384" width="9.140625" style="91"/>
  </cols>
  <sheetData>
    <row r="1" spans="1:9" ht="13.5" thickBot="1" x14ac:dyDescent="0.25">
      <c r="A1" s="826"/>
      <c r="B1" s="826"/>
      <c r="C1" s="826"/>
      <c r="D1" s="826"/>
      <c r="E1" s="826"/>
      <c r="F1" s="826"/>
      <c r="G1" s="826"/>
      <c r="H1" s="444"/>
      <c r="I1" s="444"/>
    </row>
    <row r="2" spans="1:9" ht="36.75" customHeight="1" x14ac:dyDescent="0.2">
      <c r="A2" s="827" t="s">
        <v>1017</v>
      </c>
      <c r="B2" s="828"/>
      <c r="C2" s="828"/>
      <c r="D2" s="828"/>
      <c r="E2" s="828"/>
      <c r="F2" s="828"/>
      <c r="G2" s="828"/>
      <c r="H2" s="739" t="s">
        <v>1004</v>
      </c>
      <c r="I2" s="741"/>
    </row>
    <row r="3" spans="1:9" ht="43.5" customHeight="1" thickBot="1" x14ac:dyDescent="0.25">
      <c r="A3" s="829"/>
      <c r="B3" s="830"/>
      <c r="C3" s="830"/>
      <c r="D3" s="830"/>
      <c r="E3" s="830"/>
      <c r="F3" s="830"/>
      <c r="G3" s="830"/>
      <c r="H3" s="742"/>
      <c r="I3" s="744"/>
    </row>
    <row r="4" spans="1:9" ht="50.25" customHeight="1" x14ac:dyDescent="0.2">
      <c r="A4" s="883" t="s">
        <v>579</v>
      </c>
      <c r="B4" s="883"/>
      <c r="C4" s="883"/>
      <c r="D4" s="883"/>
      <c r="E4" s="883"/>
      <c r="F4" s="883"/>
      <c r="G4" s="884"/>
      <c r="H4" s="748"/>
      <c r="I4" s="749"/>
    </row>
    <row r="5" spans="1:9" ht="15" customHeight="1" x14ac:dyDescent="0.2">
      <c r="A5" s="785" t="s">
        <v>927</v>
      </c>
      <c r="B5" s="786"/>
      <c r="C5" s="786"/>
      <c r="D5" s="786"/>
      <c r="E5" s="786"/>
      <c r="F5" s="786"/>
      <c r="G5" s="786"/>
      <c r="H5" s="900" t="s">
        <v>1141</v>
      </c>
      <c r="I5" s="901"/>
    </row>
    <row r="6" spans="1:9" x14ac:dyDescent="0.2">
      <c r="A6" s="785" t="s">
        <v>928</v>
      </c>
      <c r="B6" s="786"/>
      <c r="C6" s="786"/>
      <c r="D6" s="786"/>
      <c r="E6" s="786"/>
      <c r="F6" s="786"/>
      <c r="G6" s="786"/>
      <c r="H6" s="902"/>
      <c r="I6" s="903"/>
    </row>
    <row r="7" spans="1:9" ht="12.75" customHeight="1" x14ac:dyDescent="0.2">
      <c r="A7" s="785" t="s">
        <v>929</v>
      </c>
      <c r="B7" s="786"/>
      <c r="C7" s="786"/>
      <c r="D7" s="786"/>
      <c r="E7" s="786"/>
      <c r="F7" s="786"/>
      <c r="G7" s="786"/>
      <c r="H7" s="902"/>
      <c r="I7" s="903"/>
    </row>
    <row r="8" spans="1:9" ht="12.75" customHeight="1" x14ac:dyDescent="0.2">
      <c r="A8" s="1009" t="s">
        <v>1148</v>
      </c>
      <c r="B8" s="1010"/>
      <c r="C8" s="1010"/>
      <c r="D8" s="1010"/>
      <c r="E8" s="1010"/>
      <c r="F8" s="1010"/>
      <c r="G8" s="1010"/>
      <c r="H8" s="902"/>
      <c r="I8" s="903"/>
    </row>
    <row r="9" spans="1:9" x14ac:dyDescent="0.2">
      <c r="A9" s="785" t="s">
        <v>546</v>
      </c>
      <c r="B9" s="786"/>
      <c r="C9" s="786"/>
      <c r="D9" s="786"/>
      <c r="E9" s="786"/>
      <c r="F9" s="786"/>
      <c r="G9" s="786"/>
      <c r="H9" s="904"/>
      <c r="I9" s="905"/>
    </row>
    <row r="10" spans="1:9" x14ac:dyDescent="0.2">
      <c r="A10" s="160" t="s">
        <v>316</v>
      </c>
      <c r="B10" s="770" t="s">
        <v>317</v>
      </c>
      <c r="C10" s="771"/>
      <c r="D10" s="771"/>
      <c r="E10" s="772"/>
      <c r="F10" s="773">
        <v>43580</v>
      </c>
      <c r="G10" s="774"/>
      <c r="H10" s="640">
        <v>43669</v>
      </c>
      <c r="I10" s="641"/>
    </row>
    <row r="11" spans="1:9" x14ac:dyDescent="0.2">
      <c r="A11" s="160" t="s">
        <v>318</v>
      </c>
      <c r="B11" s="770" t="s">
        <v>319</v>
      </c>
      <c r="C11" s="771"/>
      <c r="D11" s="771"/>
      <c r="E11" s="772"/>
      <c r="F11" s="775" t="s">
        <v>320</v>
      </c>
      <c r="G11" s="776"/>
      <c r="H11" s="642" t="s">
        <v>320</v>
      </c>
      <c r="I11" s="643"/>
    </row>
    <row r="12" spans="1:9" ht="24.75" customHeight="1" x14ac:dyDescent="0.2">
      <c r="A12" s="160" t="s">
        <v>321</v>
      </c>
      <c r="B12" s="981" t="s">
        <v>605</v>
      </c>
      <c r="C12" s="982"/>
      <c r="D12" s="982"/>
      <c r="E12" s="983"/>
      <c r="F12" s="752" t="s">
        <v>878</v>
      </c>
      <c r="G12" s="781"/>
      <c r="H12" s="954" t="s">
        <v>1152</v>
      </c>
      <c r="I12" s="955"/>
    </row>
    <row r="13" spans="1:9" x14ac:dyDescent="0.2">
      <c r="A13" s="160" t="s">
        <v>322</v>
      </c>
      <c r="B13" s="770" t="s">
        <v>1140</v>
      </c>
      <c r="C13" s="771"/>
      <c r="D13" s="771"/>
      <c r="E13" s="772"/>
      <c r="F13" s="775">
        <v>24</v>
      </c>
      <c r="G13" s="776"/>
      <c r="H13" s="860">
        <v>24</v>
      </c>
      <c r="I13" s="861"/>
    </row>
    <row r="14" spans="1:9" x14ac:dyDescent="0.2">
      <c r="A14" s="752" t="s">
        <v>547</v>
      </c>
      <c r="B14" s="781"/>
      <c r="C14" s="781"/>
      <c r="D14" s="781"/>
      <c r="E14" s="781"/>
      <c r="F14" s="781"/>
      <c r="G14" s="781"/>
      <c r="H14" s="758"/>
      <c r="I14" s="759"/>
    </row>
    <row r="15" spans="1:9" ht="28.5" customHeight="1" x14ac:dyDescent="0.2">
      <c r="A15" s="820" t="s">
        <v>323</v>
      </c>
      <c r="B15" s="820"/>
      <c r="C15" s="820"/>
      <c r="D15" s="820"/>
      <c r="E15" s="78" t="s">
        <v>324</v>
      </c>
      <c r="F15" s="927" t="s">
        <v>899</v>
      </c>
      <c r="G15" s="928"/>
      <c r="H15" s="934" t="s">
        <v>899</v>
      </c>
      <c r="I15" s="935"/>
    </row>
    <row r="16" spans="1:9" ht="16.5" customHeight="1" x14ac:dyDescent="0.2">
      <c r="A16" s="777" t="s">
        <v>920</v>
      </c>
      <c r="B16" s="778"/>
      <c r="C16" s="778"/>
      <c r="D16" s="779"/>
      <c r="E16" s="78" t="s">
        <v>325</v>
      </c>
      <c r="F16" s="820">
        <v>2</v>
      </c>
      <c r="G16" s="791"/>
      <c r="H16" s="800">
        <v>2</v>
      </c>
      <c r="I16" s="801"/>
    </row>
    <row r="17" spans="1:12" ht="20.25" customHeight="1" x14ac:dyDescent="0.2">
      <c r="A17" s="972" t="s">
        <v>1050</v>
      </c>
      <c r="B17" s="973"/>
      <c r="C17" s="973"/>
      <c r="D17" s="973"/>
      <c r="E17" s="973"/>
      <c r="F17" s="995"/>
      <c r="G17" s="996"/>
      <c r="H17" s="993"/>
      <c r="I17" s="994"/>
    </row>
    <row r="18" spans="1:12" ht="22.5" customHeight="1" x14ac:dyDescent="0.2">
      <c r="A18" s="972" t="s">
        <v>1051</v>
      </c>
      <c r="B18" s="973"/>
      <c r="C18" s="973"/>
      <c r="D18" s="973"/>
      <c r="E18" s="973"/>
      <c r="F18" s="995"/>
      <c r="G18" s="996"/>
      <c r="H18" s="993"/>
      <c r="I18" s="994"/>
    </row>
    <row r="19" spans="1:12" x14ac:dyDescent="0.2">
      <c r="A19" s="769" t="s">
        <v>548</v>
      </c>
      <c r="B19" s="769"/>
      <c r="C19" s="769"/>
      <c r="D19" s="769"/>
      <c r="E19" s="769"/>
      <c r="F19" s="769"/>
      <c r="G19" s="752"/>
      <c r="H19" s="754"/>
      <c r="I19" s="755"/>
    </row>
    <row r="20" spans="1:12" x14ac:dyDescent="0.2">
      <c r="A20" s="836" t="s">
        <v>326</v>
      </c>
      <c r="B20" s="836"/>
      <c r="C20" s="836"/>
      <c r="D20" s="836"/>
      <c r="E20" s="836"/>
      <c r="F20" s="836"/>
      <c r="G20" s="837"/>
      <c r="H20" s="868"/>
      <c r="I20" s="869"/>
    </row>
    <row r="21" spans="1:12" x14ac:dyDescent="0.2">
      <c r="A21" s="836" t="s">
        <v>327</v>
      </c>
      <c r="B21" s="836"/>
      <c r="C21" s="836"/>
      <c r="D21" s="836"/>
      <c r="E21" s="836"/>
      <c r="F21" s="836"/>
      <c r="G21" s="837"/>
      <c r="H21" s="868"/>
      <c r="I21" s="869"/>
    </row>
    <row r="22" spans="1:12" ht="24" customHeight="1" x14ac:dyDescent="0.2">
      <c r="A22" s="160">
        <v>1</v>
      </c>
      <c r="B22" s="810" t="s">
        <v>586</v>
      </c>
      <c r="C22" s="811"/>
      <c r="D22" s="811"/>
      <c r="E22" s="812"/>
      <c r="F22" s="785" t="s">
        <v>615</v>
      </c>
      <c r="G22" s="786"/>
      <c r="H22" s="866" t="s">
        <v>615</v>
      </c>
      <c r="I22" s="867"/>
    </row>
    <row r="23" spans="1:12" x14ac:dyDescent="0.2">
      <c r="A23" s="160">
        <v>2</v>
      </c>
      <c r="B23" s="951" t="s">
        <v>549</v>
      </c>
      <c r="C23" s="952"/>
      <c r="D23" s="952"/>
      <c r="E23" s="953"/>
      <c r="F23" s="785" t="s">
        <v>587</v>
      </c>
      <c r="G23" s="786"/>
      <c r="H23" s="866" t="s">
        <v>587</v>
      </c>
      <c r="I23" s="867"/>
    </row>
    <row r="24" spans="1:12" x14ac:dyDescent="0.2">
      <c r="A24" s="160">
        <v>3</v>
      </c>
      <c r="B24" s="810" t="s">
        <v>550</v>
      </c>
      <c r="C24" s="811"/>
      <c r="D24" s="811"/>
      <c r="E24" s="812"/>
      <c r="F24" s="986">
        <v>1706.8</v>
      </c>
      <c r="G24" s="987"/>
      <c r="H24" s="988">
        <v>1770</v>
      </c>
      <c r="I24" s="989"/>
    </row>
    <row r="25" spans="1:12" ht="17.25" customHeight="1" x14ac:dyDescent="0.2">
      <c r="A25" s="160">
        <v>4</v>
      </c>
      <c r="B25" s="810" t="s">
        <v>329</v>
      </c>
      <c r="C25" s="811"/>
      <c r="D25" s="811"/>
      <c r="E25" s="812"/>
      <c r="F25" s="785" t="str">
        <f>A16</f>
        <v>Eletricista Plantonista Noturno</v>
      </c>
      <c r="G25" s="786"/>
      <c r="H25" s="866" t="str">
        <f>A16</f>
        <v>Eletricista Plantonista Noturno</v>
      </c>
      <c r="I25" s="867"/>
    </row>
    <row r="26" spans="1:12" ht="17.25" customHeight="1" x14ac:dyDescent="0.2">
      <c r="A26" s="160">
        <v>5</v>
      </c>
      <c r="B26" s="810" t="s">
        <v>582</v>
      </c>
      <c r="C26" s="811"/>
      <c r="D26" s="811"/>
      <c r="E26" s="812"/>
      <c r="F26" s="835" t="s">
        <v>619</v>
      </c>
      <c r="G26" s="792"/>
      <c r="H26" s="856" t="s">
        <v>612</v>
      </c>
      <c r="I26" s="857"/>
    </row>
    <row r="27" spans="1:12" x14ac:dyDescent="0.2">
      <c r="A27" s="132"/>
      <c r="B27" s="891" t="s">
        <v>973</v>
      </c>
      <c r="C27" s="892"/>
      <c r="D27" s="892"/>
      <c r="E27" s="892"/>
      <c r="F27" s="785"/>
      <c r="G27" s="943"/>
      <c r="H27" s="435"/>
      <c r="I27" s="423"/>
    </row>
    <row r="28" spans="1:12" x14ac:dyDescent="0.2">
      <c r="A28" s="160">
        <v>1</v>
      </c>
      <c r="B28" s="791" t="s">
        <v>330</v>
      </c>
      <c r="C28" s="792"/>
      <c r="D28" s="792"/>
      <c r="E28" s="809"/>
      <c r="F28" s="284" t="s">
        <v>341</v>
      </c>
      <c r="G28" s="311" t="s">
        <v>331</v>
      </c>
      <c r="H28" s="432" t="s">
        <v>341</v>
      </c>
      <c r="I28" s="401" t="s">
        <v>331</v>
      </c>
    </row>
    <row r="29" spans="1:12" x14ac:dyDescent="0.2">
      <c r="A29" s="160" t="s">
        <v>316</v>
      </c>
      <c r="B29" s="804" t="s">
        <v>589</v>
      </c>
      <c r="C29" s="679"/>
      <c r="D29" s="679"/>
      <c r="E29" s="680"/>
      <c r="F29" s="286">
        <v>1</v>
      </c>
      <c r="G29" s="327">
        <f>F24</f>
        <v>1706.8</v>
      </c>
      <c r="H29" s="436">
        <v>1</v>
      </c>
      <c r="I29" s="414">
        <f>H24</f>
        <v>1770</v>
      </c>
    </row>
    <row r="30" spans="1:12" x14ac:dyDescent="0.2">
      <c r="A30" s="160" t="s">
        <v>318</v>
      </c>
      <c r="B30" s="1005" t="s">
        <v>356</v>
      </c>
      <c r="C30" s="1006"/>
      <c r="D30" s="1006"/>
      <c r="E30" s="1007"/>
      <c r="F30" s="286">
        <v>0.3</v>
      </c>
      <c r="G30" s="319">
        <f>G29*F30</f>
        <v>512.04</v>
      </c>
      <c r="H30" s="436">
        <v>0.3</v>
      </c>
      <c r="I30" s="404">
        <f>I29*H30</f>
        <v>531</v>
      </c>
      <c r="L30" s="142"/>
    </row>
    <row r="31" spans="1:12" x14ac:dyDescent="0.2">
      <c r="A31" s="160" t="s">
        <v>321</v>
      </c>
      <c r="B31" s="804" t="s">
        <v>551</v>
      </c>
      <c r="C31" s="679"/>
      <c r="D31" s="679"/>
      <c r="E31" s="680"/>
      <c r="F31" s="286">
        <v>0</v>
      </c>
      <c r="G31" s="319">
        <f t="shared" ref="G31:G33" si="0">G30*F31</f>
        <v>0</v>
      </c>
      <c r="H31" s="436">
        <v>0</v>
      </c>
      <c r="I31" s="404">
        <f t="shared" ref="I31" si="1">I30*H31</f>
        <v>0</v>
      </c>
    </row>
    <row r="32" spans="1:12" x14ac:dyDescent="0.2">
      <c r="A32" s="160" t="s">
        <v>322</v>
      </c>
      <c r="B32" s="804" t="s">
        <v>998</v>
      </c>
      <c r="C32" s="679"/>
      <c r="D32" s="679"/>
      <c r="E32" s="680"/>
      <c r="F32" s="288">
        <v>0.111</v>
      </c>
      <c r="G32" s="319">
        <f>(G29+G30)/220*7*22.5%*15.5</f>
        <v>246.21559772727272</v>
      </c>
      <c r="H32" s="434">
        <v>0.111</v>
      </c>
      <c r="I32" s="404">
        <f>(I29+I30)/220*7*22.5%*15.5</f>
        <v>255.33255681818187</v>
      </c>
    </row>
    <row r="33" spans="1:9" x14ac:dyDescent="0.2">
      <c r="A33" s="160" t="s">
        <v>333</v>
      </c>
      <c r="B33" s="804" t="s">
        <v>553</v>
      </c>
      <c r="C33" s="679"/>
      <c r="D33" s="679"/>
      <c r="E33" s="680"/>
      <c r="F33" s="286">
        <v>0</v>
      </c>
      <c r="G33" s="319">
        <f t="shared" si="0"/>
        <v>0</v>
      </c>
      <c r="H33" s="436">
        <v>0</v>
      </c>
      <c r="I33" s="404">
        <f t="shared" ref="I33" si="2">I32*H33</f>
        <v>0</v>
      </c>
    </row>
    <row r="34" spans="1:9" x14ac:dyDescent="0.2">
      <c r="A34" s="160" t="s">
        <v>334</v>
      </c>
      <c r="B34" s="804" t="s">
        <v>877</v>
      </c>
      <c r="C34" s="679"/>
      <c r="D34" s="679"/>
      <c r="E34" s="680"/>
      <c r="F34" s="286">
        <v>0</v>
      </c>
      <c r="G34" s="319">
        <v>0</v>
      </c>
      <c r="H34" s="436">
        <v>0</v>
      </c>
      <c r="I34" s="404">
        <v>0</v>
      </c>
    </row>
    <row r="35" spans="1:9" x14ac:dyDescent="0.2">
      <c r="A35" s="155"/>
      <c r="B35" s="752" t="s">
        <v>337</v>
      </c>
      <c r="C35" s="781"/>
      <c r="D35" s="781"/>
      <c r="E35" s="781"/>
      <c r="F35" s="287">
        <f>SUM(F29:F34)</f>
        <v>1.411</v>
      </c>
      <c r="G35" s="317">
        <f>SUM(G29:G34)</f>
        <v>2465.0555977272729</v>
      </c>
      <c r="H35" s="437">
        <f>SUM(H29:H34)</f>
        <v>1.411</v>
      </c>
      <c r="I35" s="403">
        <f>SUM(I29:I34)</f>
        <v>2556.3325568181817</v>
      </c>
    </row>
    <row r="36" spans="1:9" x14ac:dyDescent="0.2">
      <c r="A36" s="824" t="s">
        <v>1043</v>
      </c>
      <c r="B36" s="825"/>
      <c r="C36" s="825"/>
      <c r="D36" s="825"/>
      <c r="E36" s="825"/>
      <c r="F36" s="825"/>
      <c r="G36" s="825"/>
      <c r="H36" s="450"/>
      <c r="I36" s="455"/>
    </row>
    <row r="37" spans="1:9" x14ac:dyDescent="0.2">
      <c r="A37" s="775"/>
      <c r="B37" s="776"/>
      <c r="C37" s="776"/>
      <c r="D37" s="776"/>
      <c r="E37" s="776"/>
      <c r="F37" s="776"/>
      <c r="G37" s="776"/>
      <c r="H37" s="398"/>
      <c r="I37" s="417"/>
    </row>
    <row r="38" spans="1:9" x14ac:dyDescent="0.2">
      <c r="A38" s="157"/>
      <c r="B38" s="752" t="s">
        <v>555</v>
      </c>
      <c r="C38" s="781"/>
      <c r="D38" s="781"/>
      <c r="E38" s="781"/>
      <c r="F38" s="283"/>
      <c r="G38" s="320"/>
      <c r="H38" s="435"/>
      <c r="I38" s="424"/>
    </row>
    <row r="39" spans="1:9" x14ac:dyDescent="0.2">
      <c r="A39" s="678" t="s">
        <v>556</v>
      </c>
      <c r="B39" s="793"/>
      <c r="C39" s="793"/>
      <c r="D39" s="793"/>
      <c r="E39" s="793"/>
      <c r="F39" s="793"/>
      <c r="G39" s="793"/>
      <c r="H39" s="387"/>
      <c r="I39" s="408"/>
    </row>
    <row r="40" spans="1:9" x14ac:dyDescent="0.2">
      <c r="A40" s="160" t="s">
        <v>557</v>
      </c>
      <c r="B40" s="791" t="s">
        <v>558</v>
      </c>
      <c r="C40" s="792"/>
      <c r="D40" s="792"/>
      <c r="E40" s="792"/>
      <c r="F40" s="809"/>
      <c r="G40" s="311" t="s">
        <v>331</v>
      </c>
      <c r="H40" s="380"/>
      <c r="I40" s="401" t="s">
        <v>331</v>
      </c>
    </row>
    <row r="41" spans="1:9" x14ac:dyDescent="0.2">
      <c r="A41" s="160" t="s">
        <v>316</v>
      </c>
      <c r="B41" s="804" t="s">
        <v>559</v>
      </c>
      <c r="C41" s="679"/>
      <c r="D41" s="679"/>
      <c r="E41" s="680"/>
      <c r="F41" s="288">
        <v>8.3299999999999999E-2</v>
      </c>
      <c r="G41" s="319">
        <f>F41*G35</f>
        <v>205.33913129068182</v>
      </c>
      <c r="H41" s="434">
        <v>8.3299999999999999E-2</v>
      </c>
      <c r="I41" s="404">
        <f>H41*I35</f>
        <v>212.94250198295452</v>
      </c>
    </row>
    <row r="42" spans="1:9" x14ac:dyDescent="0.2">
      <c r="A42" s="160" t="s">
        <v>318</v>
      </c>
      <c r="B42" s="804" t="s">
        <v>607</v>
      </c>
      <c r="C42" s="679"/>
      <c r="D42" s="679"/>
      <c r="E42" s="680"/>
      <c r="F42" s="288">
        <f>8.33%+(8.33%*1/3)</f>
        <v>0.11106666666666666</v>
      </c>
      <c r="G42" s="319">
        <f>F42*G35</f>
        <v>273.78550838757576</v>
      </c>
      <c r="H42" s="434">
        <f>8.33%+(8.33%*1/3)</f>
        <v>0.11106666666666666</v>
      </c>
      <c r="I42" s="404">
        <f>H42*I35</f>
        <v>283.9233359772727</v>
      </c>
    </row>
    <row r="43" spans="1:9" x14ac:dyDescent="0.2">
      <c r="A43" s="157"/>
      <c r="B43" s="752" t="s">
        <v>352</v>
      </c>
      <c r="C43" s="781"/>
      <c r="D43" s="781"/>
      <c r="E43" s="788"/>
      <c r="F43" s="289">
        <f>SUM(F41:F42)</f>
        <v>0.19436666666666666</v>
      </c>
      <c r="G43" s="317">
        <f>SUM(G41:G42)</f>
        <v>479.12463967825761</v>
      </c>
      <c r="H43" s="438">
        <f>SUM(H41:H42)</f>
        <v>0.19436666666666666</v>
      </c>
      <c r="I43" s="403">
        <f>SUM(I41:I42)</f>
        <v>496.86583796022722</v>
      </c>
    </row>
    <row r="44" spans="1:9" ht="24.75" customHeight="1" x14ac:dyDescent="0.2">
      <c r="A44" s="789" t="s">
        <v>1084</v>
      </c>
      <c r="B44" s="790"/>
      <c r="C44" s="790"/>
      <c r="D44" s="790"/>
      <c r="E44" s="790"/>
      <c r="F44" s="790"/>
      <c r="G44" s="790"/>
      <c r="H44" s="385"/>
      <c r="I44" s="405"/>
    </row>
    <row r="45" spans="1:9" ht="14.25" customHeight="1" x14ac:dyDescent="0.2">
      <c r="A45" s="789" t="s">
        <v>1085</v>
      </c>
      <c r="B45" s="790"/>
      <c r="C45" s="790"/>
      <c r="D45" s="790"/>
      <c r="E45" s="790"/>
      <c r="F45" s="790"/>
      <c r="G45" s="790"/>
      <c r="H45" s="385"/>
      <c r="I45" s="405"/>
    </row>
    <row r="46" spans="1:9" ht="21.75" customHeight="1" x14ac:dyDescent="0.2">
      <c r="A46" s="821" t="s">
        <v>1086</v>
      </c>
      <c r="B46" s="821"/>
      <c r="C46" s="821"/>
      <c r="D46" s="821"/>
      <c r="E46" s="821"/>
      <c r="F46" s="821"/>
      <c r="G46" s="821"/>
      <c r="H46" s="386"/>
      <c r="I46" s="406"/>
    </row>
    <row r="47" spans="1:9" x14ac:dyDescent="0.2">
      <c r="A47" s="775"/>
      <c r="B47" s="776"/>
      <c r="C47" s="776"/>
      <c r="D47" s="776"/>
      <c r="E47" s="776"/>
      <c r="F47" s="776"/>
      <c r="G47" s="776"/>
      <c r="H47" s="398"/>
      <c r="I47" s="417"/>
    </row>
    <row r="48" spans="1:9" x14ac:dyDescent="0.2">
      <c r="A48" s="678" t="s">
        <v>560</v>
      </c>
      <c r="B48" s="793"/>
      <c r="C48" s="793"/>
      <c r="D48" s="793"/>
      <c r="E48" s="793"/>
      <c r="F48" s="793"/>
      <c r="G48" s="793"/>
      <c r="H48" s="387"/>
      <c r="I48" s="408"/>
    </row>
    <row r="49" spans="1:10" ht="24" x14ac:dyDescent="0.2">
      <c r="A49" s="160" t="s">
        <v>561</v>
      </c>
      <c r="B49" s="791" t="s">
        <v>562</v>
      </c>
      <c r="C49" s="776"/>
      <c r="D49" s="776"/>
      <c r="E49" s="893"/>
      <c r="F49" s="288" t="s">
        <v>563</v>
      </c>
      <c r="G49" s="311" t="s">
        <v>331</v>
      </c>
      <c r="H49" s="434" t="s">
        <v>563</v>
      </c>
      <c r="I49" s="401" t="s">
        <v>331</v>
      </c>
    </row>
    <row r="50" spans="1:10" x14ac:dyDescent="0.2">
      <c r="A50" s="160" t="s">
        <v>316</v>
      </c>
      <c r="B50" s="804" t="s">
        <v>342</v>
      </c>
      <c r="C50" s="679"/>
      <c r="D50" s="679"/>
      <c r="E50" s="680"/>
      <c r="F50" s="291"/>
      <c r="G50" s="321">
        <f>F50*(G35+G43+G117)</f>
        <v>0</v>
      </c>
      <c r="H50" s="434"/>
      <c r="I50" s="409">
        <f>H50*(I35+I43+I117)</f>
        <v>0</v>
      </c>
    </row>
    <row r="51" spans="1:10" x14ac:dyDescent="0.2">
      <c r="A51" s="160" t="s">
        <v>318</v>
      </c>
      <c r="B51" s="804" t="s">
        <v>564</v>
      </c>
      <c r="C51" s="679"/>
      <c r="D51" s="679"/>
      <c r="E51" s="680"/>
      <c r="F51" s="291">
        <v>2.5000000000000001E-2</v>
      </c>
      <c r="G51" s="321">
        <f>F51*(G35+G43+G117)</f>
        <v>75.561486184667316</v>
      </c>
      <c r="H51" s="434">
        <v>2.5000000000000001E-2</v>
      </c>
      <c r="I51" s="481">
        <f>H51*(I35+I43+I117)</f>
        <v>78.359403882623099</v>
      </c>
    </row>
    <row r="52" spans="1:10" x14ac:dyDescent="0.2">
      <c r="A52" s="160" t="s">
        <v>321</v>
      </c>
      <c r="B52" s="804" t="s">
        <v>565</v>
      </c>
      <c r="C52" s="679"/>
      <c r="D52" s="679"/>
      <c r="E52" s="680"/>
      <c r="F52" s="291">
        <v>2.7900000000000001E-2</v>
      </c>
      <c r="G52" s="321">
        <f>F52*(G35+G43+G117)</f>
        <v>84.326618582088713</v>
      </c>
      <c r="H52" s="196">
        <v>2.76E-2</v>
      </c>
      <c r="I52" s="507">
        <f>H52*(I35+I43+I117)</f>
        <v>86.508781886415903</v>
      </c>
      <c r="J52" s="504"/>
    </row>
    <row r="53" spans="1:10" x14ac:dyDescent="0.2">
      <c r="A53" s="160" t="s">
        <v>322</v>
      </c>
      <c r="B53" s="804" t="s">
        <v>566</v>
      </c>
      <c r="C53" s="679"/>
      <c r="D53" s="679"/>
      <c r="E53" s="680"/>
      <c r="F53" s="291">
        <v>1.4999999999999999E-2</v>
      </c>
      <c r="G53" s="321">
        <f>F53*(G35+G43+G117)</f>
        <v>45.33689171080038</v>
      </c>
      <c r="H53" s="434">
        <v>1.4999999999999999E-2</v>
      </c>
      <c r="I53" s="481">
        <f>H53*(I35+I43+I117)</f>
        <v>47.015642329573858</v>
      </c>
    </row>
    <row r="54" spans="1:10" x14ac:dyDescent="0.2">
      <c r="A54" s="160" t="s">
        <v>333</v>
      </c>
      <c r="B54" s="804" t="s">
        <v>343</v>
      </c>
      <c r="C54" s="679"/>
      <c r="D54" s="679"/>
      <c r="E54" s="680"/>
      <c r="F54" s="291">
        <v>0.01</v>
      </c>
      <c r="G54" s="321">
        <f>F54*(G35+G43+G117)</f>
        <v>30.224594473866922</v>
      </c>
      <c r="H54" s="434">
        <v>0.01</v>
      </c>
      <c r="I54" s="481">
        <f>H54*(I35+I43+I117)</f>
        <v>31.343761553049241</v>
      </c>
    </row>
    <row r="55" spans="1:10" x14ac:dyDescent="0.2">
      <c r="A55" s="160" t="s">
        <v>334</v>
      </c>
      <c r="B55" s="804" t="s">
        <v>346</v>
      </c>
      <c r="C55" s="679"/>
      <c r="D55" s="679"/>
      <c r="E55" s="680"/>
      <c r="F55" s="291">
        <v>6.0000000000000001E-3</v>
      </c>
      <c r="G55" s="321">
        <f>F55*(G35+G43+G117)</f>
        <v>18.134756684320156</v>
      </c>
      <c r="H55" s="434">
        <v>6.0000000000000001E-3</v>
      </c>
      <c r="I55" s="481">
        <f>H55*(I35+I43+I117)</f>
        <v>18.806256931829544</v>
      </c>
    </row>
    <row r="56" spans="1:10" x14ac:dyDescent="0.2">
      <c r="A56" s="160" t="s">
        <v>335</v>
      </c>
      <c r="B56" s="804" t="s">
        <v>344</v>
      </c>
      <c r="C56" s="679"/>
      <c r="D56" s="679"/>
      <c r="E56" s="680"/>
      <c r="F56" s="291">
        <v>2E-3</v>
      </c>
      <c r="G56" s="321">
        <f>F56*(G35+G43+G117)</f>
        <v>6.0449188947733852</v>
      </c>
      <c r="H56" s="434">
        <v>2E-3</v>
      </c>
      <c r="I56" s="481">
        <f>H56*(I35+I43+I117)</f>
        <v>6.2687523106098482</v>
      </c>
    </row>
    <row r="57" spans="1:10" x14ac:dyDescent="0.2">
      <c r="A57" s="160" t="s">
        <v>336</v>
      </c>
      <c r="B57" s="804" t="s">
        <v>345</v>
      </c>
      <c r="C57" s="679"/>
      <c r="D57" s="679"/>
      <c r="E57" s="680"/>
      <c r="F57" s="291">
        <v>0.08</v>
      </c>
      <c r="G57" s="321">
        <f>F57*(G35+G43+G117)</f>
        <v>241.79675579093538</v>
      </c>
      <c r="H57" s="434">
        <v>0.08</v>
      </c>
      <c r="I57" s="481">
        <f>H57*(I35+I43+I117)</f>
        <v>250.75009242439393</v>
      </c>
    </row>
    <row r="58" spans="1:10" x14ac:dyDescent="0.2">
      <c r="A58" s="157"/>
      <c r="B58" s="752" t="s">
        <v>352</v>
      </c>
      <c r="C58" s="781"/>
      <c r="D58" s="781"/>
      <c r="E58" s="788"/>
      <c r="F58" s="289">
        <f>SUM(F50:F57)</f>
        <v>0.16589999999999999</v>
      </c>
      <c r="G58" s="322">
        <f>SUM(G50:G57)</f>
        <v>501.42602232145225</v>
      </c>
      <c r="H58" s="438">
        <f>SUM(H50:H57)</f>
        <v>0.1656</v>
      </c>
      <c r="I58" s="410">
        <f>SUM(I50:I57)</f>
        <v>519.05269131849536</v>
      </c>
    </row>
    <row r="59" spans="1:10" x14ac:dyDescent="0.2">
      <c r="A59" s="972" t="s">
        <v>1055</v>
      </c>
      <c r="B59" s="973"/>
      <c r="C59" s="973"/>
      <c r="D59" s="973"/>
      <c r="E59" s="973"/>
      <c r="F59" s="973"/>
      <c r="G59" s="973"/>
      <c r="H59" s="385"/>
      <c r="I59" s="405"/>
    </row>
    <row r="60" spans="1:10" ht="13.5" customHeight="1" x14ac:dyDescent="0.2">
      <c r="A60" s="972" t="s">
        <v>1056</v>
      </c>
      <c r="B60" s="973"/>
      <c r="C60" s="973"/>
      <c r="D60" s="973"/>
      <c r="E60" s="973"/>
      <c r="F60" s="973"/>
      <c r="G60" s="973"/>
      <c r="H60" s="385"/>
      <c r="I60" s="405"/>
    </row>
    <row r="61" spans="1:10" ht="14.25" customHeight="1" x14ac:dyDescent="0.2">
      <c r="A61" s="976" t="s">
        <v>936</v>
      </c>
      <c r="B61" s="977"/>
      <c r="C61" s="977"/>
      <c r="D61" s="977"/>
      <c r="E61" s="977"/>
      <c r="F61" s="977"/>
      <c r="G61" s="977"/>
      <c r="H61" s="451"/>
      <c r="I61" s="456"/>
    </row>
    <row r="62" spans="1:10" x14ac:dyDescent="0.2">
      <c r="A62" s="156"/>
      <c r="B62" s="79"/>
      <c r="C62" s="77"/>
      <c r="D62" s="77"/>
      <c r="E62" s="77"/>
      <c r="F62" s="291"/>
      <c r="G62" s="312"/>
      <c r="H62" s="434"/>
      <c r="I62" s="401"/>
    </row>
    <row r="63" spans="1:10" x14ac:dyDescent="0.2">
      <c r="A63" s="678" t="s">
        <v>567</v>
      </c>
      <c r="B63" s="793"/>
      <c r="C63" s="793"/>
      <c r="D63" s="793"/>
      <c r="E63" s="793"/>
      <c r="F63" s="793"/>
      <c r="G63" s="793"/>
      <c r="H63" s="387"/>
      <c r="I63" s="408"/>
    </row>
    <row r="64" spans="1:10" x14ac:dyDescent="0.2">
      <c r="A64" s="160" t="s">
        <v>568</v>
      </c>
      <c r="B64" s="820" t="s">
        <v>569</v>
      </c>
      <c r="C64" s="820"/>
      <c r="D64" s="820"/>
      <c r="E64" s="820"/>
      <c r="F64" s="820"/>
      <c r="G64" s="311" t="s">
        <v>331</v>
      </c>
      <c r="H64" s="380"/>
      <c r="I64" s="401" t="s">
        <v>331</v>
      </c>
    </row>
    <row r="65" spans="1:9" ht="24.75" customHeight="1" x14ac:dyDescent="0.2">
      <c r="A65" s="160" t="s">
        <v>316</v>
      </c>
      <c r="B65" s="804" t="s">
        <v>1087</v>
      </c>
      <c r="C65" s="679"/>
      <c r="D65" s="679"/>
      <c r="E65" s="679"/>
      <c r="F65" s="680"/>
      <c r="G65" s="319">
        <f>((5+2.5)*2*15.5)-6%*G29</f>
        <v>130.09200000000001</v>
      </c>
      <c r="H65" s="388"/>
      <c r="I65" s="404">
        <f>((5+2.5)*2*15.5)-6%*I29</f>
        <v>126.3</v>
      </c>
    </row>
    <row r="66" spans="1:9" ht="24.75" customHeight="1" x14ac:dyDescent="0.2">
      <c r="A66" s="160" t="s">
        <v>318</v>
      </c>
      <c r="B66" s="804" t="s">
        <v>1088</v>
      </c>
      <c r="C66" s="679"/>
      <c r="D66" s="679"/>
      <c r="E66" s="679"/>
      <c r="F66" s="680"/>
      <c r="G66" s="319">
        <f>31.5*15.5</f>
        <v>488.25</v>
      </c>
      <c r="H66" s="388"/>
      <c r="I66" s="404">
        <f>32.7*15.5</f>
        <v>506.85</v>
      </c>
    </row>
    <row r="67" spans="1:9" x14ac:dyDescent="0.2">
      <c r="A67" s="160" t="s">
        <v>321</v>
      </c>
      <c r="B67" s="804" t="s">
        <v>963</v>
      </c>
      <c r="C67" s="679"/>
      <c r="D67" s="679"/>
      <c r="E67" s="679"/>
      <c r="F67" s="680"/>
      <c r="G67" s="319">
        <v>0</v>
      </c>
      <c r="H67" s="388"/>
      <c r="I67" s="404">
        <v>0</v>
      </c>
    </row>
    <row r="68" spans="1:9" x14ac:dyDescent="0.2">
      <c r="A68" s="160" t="s">
        <v>322</v>
      </c>
      <c r="B68" s="678" t="s">
        <v>930</v>
      </c>
      <c r="C68" s="679"/>
      <c r="D68" s="679"/>
      <c r="E68" s="679"/>
      <c r="F68" s="680"/>
      <c r="G68" s="319">
        <v>0</v>
      </c>
      <c r="H68" s="388"/>
      <c r="I68" s="404">
        <v>0</v>
      </c>
    </row>
    <row r="69" spans="1:9" x14ac:dyDescent="0.2">
      <c r="A69" s="160" t="s">
        <v>333</v>
      </c>
      <c r="B69" s="678" t="s">
        <v>933</v>
      </c>
      <c r="C69" s="793"/>
      <c r="D69" s="793"/>
      <c r="E69" s="793"/>
      <c r="F69" s="818"/>
      <c r="G69" s="319"/>
      <c r="H69" s="388"/>
      <c r="I69" s="404"/>
    </row>
    <row r="70" spans="1:9" x14ac:dyDescent="0.2">
      <c r="A70" s="160" t="s">
        <v>334</v>
      </c>
      <c r="B70" s="678" t="s">
        <v>932</v>
      </c>
      <c r="C70" s="679"/>
      <c r="D70" s="679"/>
      <c r="E70" s="679"/>
      <c r="F70" s="680"/>
      <c r="G70" s="319">
        <v>0</v>
      </c>
      <c r="H70" s="388"/>
      <c r="I70" s="404">
        <v>10.65</v>
      </c>
    </row>
    <row r="71" spans="1:9" x14ac:dyDescent="0.2">
      <c r="A71" s="160" t="s">
        <v>335</v>
      </c>
      <c r="B71" s="678" t="s">
        <v>931</v>
      </c>
      <c r="C71" s="679"/>
      <c r="D71" s="679"/>
      <c r="E71" s="679"/>
      <c r="F71" s="680"/>
      <c r="G71" s="319">
        <v>0</v>
      </c>
      <c r="H71" s="388"/>
      <c r="I71" s="404">
        <v>0</v>
      </c>
    </row>
    <row r="72" spans="1:9" x14ac:dyDescent="0.2">
      <c r="A72" s="155"/>
      <c r="B72" s="752" t="s">
        <v>352</v>
      </c>
      <c r="C72" s="781"/>
      <c r="D72" s="781"/>
      <c r="E72" s="781"/>
      <c r="F72" s="788"/>
      <c r="G72" s="317">
        <f>SUM(G65:G70)</f>
        <v>618.34199999999998</v>
      </c>
      <c r="H72" s="389"/>
      <c r="I72" s="403">
        <f>SUM(I65:I70)</f>
        <v>643.79999999999995</v>
      </c>
    </row>
    <row r="73" spans="1:9" x14ac:dyDescent="0.2">
      <c r="A73" s="972" t="s">
        <v>1057</v>
      </c>
      <c r="B73" s="973"/>
      <c r="C73" s="973"/>
      <c r="D73" s="973"/>
      <c r="E73" s="973"/>
      <c r="F73" s="973"/>
      <c r="G73" s="973"/>
      <c r="H73" s="385"/>
      <c r="I73" s="405"/>
    </row>
    <row r="74" spans="1:9" x14ac:dyDescent="0.2">
      <c r="A74" s="972" t="s">
        <v>1063</v>
      </c>
      <c r="B74" s="973"/>
      <c r="C74" s="973"/>
      <c r="D74" s="973"/>
      <c r="E74" s="973"/>
      <c r="F74" s="973"/>
      <c r="G74" s="973"/>
      <c r="H74" s="385"/>
      <c r="I74" s="405"/>
    </row>
    <row r="75" spans="1:9" x14ac:dyDescent="0.2">
      <c r="A75" s="158"/>
      <c r="B75" s="77"/>
      <c r="C75" s="77"/>
      <c r="D75" s="77"/>
      <c r="E75" s="77"/>
      <c r="F75" s="290"/>
      <c r="G75" s="307"/>
      <c r="H75" s="439"/>
      <c r="I75" s="407"/>
    </row>
    <row r="76" spans="1:9" x14ac:dyDescent="0.2">
      <c r="A76" s="132"/>
      <c r="B76" s="752" t="s">
        <v>892</v>
      </c>
      <c r="C76" s="781"/>
      <c r="D76" s="781"/>
      <c r="E76" s="781"/>
      <c r="F76" s="781"/>
      <c r="G76" s="320"/>
      <c r="H76" s="419"/>
      <c r="I76" s="424"/>
    </row>
    <row r="77" spans="1:9" x14ac:dyDescent="0.2">
      <c r="A77" s="160">
        <v>2</v>
      </c>
      <c r="B77" s="820" t="s">
        <v>571</v>
      </c>
      <c r="C77" s="820"/>
      <c r="D77" s="820"/>
      <c r="E77" s="820"/>
      <c r="F77" s="820"/>
      <c r="G77" s="311" t="s">
        <v>331</v>
      </c>
      <c r="H77" s="380"/>
      <c r="I77" s="401" t="s">
        <v>331</v>
      </c>
    </row>
    <row r="78" spans="1:9" x14ac:dyDescent="0.2">
      <c r="A78" s="160" t="s">
        <v>557</v>
      </c>
      <c r="B78" s="819" t="s">
        <v>572</v>
      </c>
      <c r="C78" s="819"/>
      <c r="D78" s="819"/>
      <c r="E78" s="819"/>
      <c r="F78" s="819"/>
      <c r="G78" s="319">
        <f>G43</f>
        <v>479.12463967825761</v>
      </c>
      <c r="H78" s="388"/>
      <c r="I78" s="404">
        <f>I43</f>
        <v>496.86583796022722</v>
      </c>
    </row>
    <row r="79" spans="1:9" x14ac:dyDescent="0.2">
      <c r="A79" s="160" t="s">
        <v>561</v>
      </c>
      <c r="B79" s="819" t="s">
        <v>562</v>
      </c>
      <c r="C79" s="819"/>
      <c r="D79" s="819"/>
      <c r="E79" s="819"/>
      <c r="F79" s="819"/>
      <c r="G79" s="319">
        <f>G58</f>
        <v>501.42602232145225</v>
      </c>
      <c r="H79" s="388"/>
      <c r="I79" s="482">
        <f>I58</f>
        <v>519.05269131849536</v>
      </c>
    </row>
    <row r="80" spans="1:9" x14ac:dyDescent="0.2">
      <c r="A80" s="160" t="s">
        <v>568</v>
      </c>
      <c r="B80" s="819" t="s">
        <v>569</v>
      </c>
      <c r="C80" s="819"/>
      <c r="D80" s="819"/>
      <c r="E80" s="819"/>
      <c r="F80" s="819"/>
      <c r="G80" s="319">
        <f>G72</f>
        <v>618.34199999999998</v>
      </c>
      <c r="H80" s="388"/>
      <c r="I80" s="404">
        <f>I72</f>
        <v>643.79999999999995</v>
      </c>
    </row>
    <row r="81" spans="1:9" x14ac:dyDescent="0.2">
      <c r="A81" s="134"/>
      <c r="B81" s="756" t="s">
        <v>352</v>
      </c>
      <c r="C81" s="840"/>
      <c r="D81" s="840"/>
      <c r="E81" s="840"/>
      <c r="F81" s="841"/>
      <c r="G81" s="317">
        <f>SUM(G78:G80)</f>
        <v>1598.8926619997098</v>
      </c>
      <c r="H81" s="389"/>
      <c r="I81" s="403">
        <f>SUM(I78:I80)</f>
        <v>1659.7185292787226</v>
      </c>
    </row>
    <row r="82" spans="1:9" x14ac:dyDescent="0.2">
      <c r="A82" s="838"/>
      <c r="B82" s="839"/>
      <c r="C82" s="839"/>
      <c r="D82" s="839"/>
      <c r="E82" s="839"/>
      <c r="F82" s="839"/>
      <c r="G82" s="839"/>
      <c r="H82" s="420"/>
      <c r="I82" s="425"/>
    </row>
    <row r="83" spans="1:9" x14ac:dyDescent="0.2">
      <c r="A83" s="132"/>
      <c r="B83" s="752" t="s">
        <v>885</v>
      </c>
      <c r="C83" s="781"/>
      <c r="D83" s="781"/>
      <c r="E83" s="788"/>
      <c r="F83" s="283"/>
      <c r="G83" s="320"/>
      <c r="H83" s="435"/>
      <c r="I83" s="424"/>
    </row>
    <row r="84" spans="1:9" ht="24" x14ac:dyDescent="0.2">
      <c r="A84" s="160">
        <v>3</v>
      </c>
      <c r="B84" s="791" t="s">
        <v>348</v>
      </c>
      <c r="C84" s="792"/>
      <c r="D84" s="792"/>
      <c r="E84" s="809"/>
      <c r="F84" s="288" t="s">
        <v>563</v>
      </c>
      <c r="G84" s="311" t="s">
        <v>331</v>
      </c>
      <c r="H84" s="434" t="s">
        <v>563</v>
      </c>
      <c r="I84" s="401" t="s">
        <v>331</v>
      </c>
    </row>
    <row r="85" spans="1:9" x14ac:dyDescent="0.2">
      <c r="A85" s="156" t="s">
        <v>316</v>
      </c>
      <c r="B85" s="804" t="s">
        <v>999</v>
      </c>
      <c r="C85" s="679"/>
      <c r="D85" s="679"/>
      <c r="E85" s="680"/>
      <c r="F85" s="292">
        <v>4.1700000000000001E-3</v>
      </c>
      <c r="G85" s="319">
        <f>F85*(G35+G43)</f>
        <v>12.277231589981062</v>
      </c>
      <c r="H85" s="441">
        <v>4.1700000000000001E-3</v>
      </c>
      <c r="I85" s="404">
        <f>H85*(I35+I43)</f>
        <v>12.731837306225964</v>
      </c>
    </row>
    <row r="86" spans="1:9" x14ac:dyDescent="0.2">
      <c r="A86" s="156" t="s">
        <v>318</v>
      </c>
      <c r="B86" s="804" t="s">
        <v>573</v>
      </c>
      <c r="C86" s="679"/>
      <c r="D86" s="679"/>
      <c r="E86" s="680"/>
      <c r="F86" s="292">
        <f>F57*F85</f>
        <v>3.3360000000000003E-4</v>
      </c>
      <c r="G86" s="319">
        <f>F86*(G35+G43)</f>
        <v>0.98217852719848509</v>
      </c>
      <c r="H86" s="441">
        <f>H57*H85</f>
        <v>3.3360000000000003E-4</v>
      </c>
      <c r="I86" s="404">
        <f>H86*(I35+I43)</f>
        <v>1.0185469844980772</v>
      </c>
    </row>
    <row r="87" spans="1:9" ht="38.25" customHeight="1" x14ac:dyDescent="0.2">
      <c r="A87" s="160" t="s">
        <v>321</v>
      </c>
      <c r="B87" s="804" t="s">
        <v>1089</v>
      </c>
      <c r="C87" s="679"/>
      <c r="D87" s="679"/>
      <c r="E87" s="680"/>
      <c r="F87" s="292">
        <f xml:space="preserve"> (40%+10%)*F85</f>
        <v>2.085E-3</v>
      </c>
      <c r="G87" s="319">
        <f>F87*(G35+G43)</f>
        <v>6.1386157949905309</v>
      </c>
      <c r="H87" s="441">
        <f xml:space="preserve"> (40%+10%)*H85</f>
        <v>2.085E-3</v>
      </c>
      <c r="I87" s="404">
        <f>H87*(I35+I43)</f>
        <v>6.3659186531129821</v>
      </c>
    </row>
    <row r="88" spans="1:9" ht="26.25" customHeight="1" x14ac:dyDescent="0.2">
      <c r="A88" s="160" t="s">
        <v>322</v>
      </c>
      <c r="B88" s="804" t="s">
        <v>1071</v>
      </c>
      <c r="C88" s="679"/>
      <c r="D88" s="679"/>
      <c r="E88" s="680"/>
      <c r="F88" s="292">
        <f>(7/30)/12</f>
        <v>1.9444444444444445E-2</v>
      </c>
      <c r="G88" s="319">
        <f>F88*(G35+G43)</f>
        <v>57.247949060663096</v>
      </c>
      <c r="H88" s="441">
        <f>(7/30)/12</f>
        <v>1.9444444444444445E-2</v>
      </c>
      <c r="I88" s="404">
        <f>H88*(I35+I43)</f>
        <v>59.367746565135725</v>
      </c>
    </row>
    <row r="89" spans="1:9" ht="26.25" customHeight="1" x14ac:dyDescent="0.2">
      <c r="A89" s="155" t="s">
        <v>333</v>
      </c>
      <c r="B89" s="804" t="s">
        <v>1091</v>
      </c>
      <c r="C89" s="679"/>
      <c r="D89" s="679"/>
      <c r="E89" s="680"/>
      <c r="F89" s="292">
        <f>F58*F88</f>
        <v>3.2258333333333332E-3</v>
      </c>
      <c r="G89" s="319">
        <f>F89*($G$35+$G$43)</f>
        <v>9.4974347491640074</v>
      </c>
      <c r="H89" s="441">
        <f>H58*H88</f>
        <v>3.2200000000000002E-3</v>
      </c>
      <c r="I89" s="404">
        <f>H89*($I$35+$I$43)</f>
        <v>9.8312988311864764</v>
      </c>
    </row>
    <row r="90" spans="1:9" x14ac:dyDescent="0.2">
      <c r="A90" s="160" t="s">
        <v>334</v>
      </c>
      <c r="B90" s="804" t="s">
        <v>1092</v>
      </c>
      <c r="C90" s="679"/>
      <c r="D90" s="679"/>
      <c r="E90" s="680"/>
      <c r="F90" s="288">
        <f>50%*F88</f>
        <v>9.7222222222222224E-3</v>
      </c>
      <c r="G90" s="319">
        <f>F90*($G$35+$G$43)</f>
        <v>28.623974530331548</v>
      </c>
      <c r="H90" s="434">
        <f>50%*H88</f>
        <v>9.7222222222222224E-3</v>
      </c>
      <c r="I90" s="404">
        <f>H90*($I$35+$I$43)</f>
        <v>29.683873282567863</v>
      </c>
    </row>
    <row r="91" spans="1:9" x14ac:dyDescent="0.2">
      <c r="A91" s="157"/>
      <c r="B91" s="752" t="s">
        <v>352</v>
      </c>
      <c r="C91" s="781"/>
      <c r="D91" s="781"/>
      <c r="E91" s="788"/>
      <c r="F91" s="300">
        <f>SUM(F85:F90)</f>
        <v>3.8981100000000005E-2</v>
      </c>
      <c r="G91" s="317">
        <f>SUM(G85:G90)</f>
        <v>114.76738425232874</v>
      </c>
      <c r="H91" s="452">
        <f>SUM(H85:H90)</f>
        <v>3.8975266666666668E-2</v>
      </c>
      <c r="I91" s="403">
        <f>SUM(I85:I90)</f>
        <v>118.99922162272708</v>
      </c>
    </row>
    <row r="92" spans="1:9" x14ac:dyDescent="0.2">
      <c r="A92" s="162"/>
      <c r="B92" s="84"/>
      <c r="C92" s="84"/>
      <c r="D92" s="84"/>
      <c r="E92" s="84"/>
      <c r="F92" s="293"/>
      <c r="G92" s="315"/>
      <c r="H92" s="447"/>
      <c r="I92" s="412"/>
    </row>
    <row r="93" spans="1:9" x14ac:dyDescent="0.2">
      <c r="A93" s="132"/>
      <c r="B93" s="752" t="s">
        <v>886</v>
      </c>
      <c r="C93" s="781"/>
      <c r="D93" s="781"/>
      <c r="E93" s="781"/>
      <c r="F93" s="283"/>
      <c r="G93" s="320"/>
      <c r="H93" s="435"/>
      <c r="I93" s="424"/>
    </row>
    <row r="94" spans="1:9" ht="26.25" customHeight="1" x14ac:dyDescent="0.2">
      <c r="A94" s="980" t="s">
        <v>1059</v>
      </c>
      <c r="B94" s="973"/>
      <c r="C94" s="973"/>
      <c r="D94" s="973"/>
      <c r="E94" s="973"/>
      <c r="F94" s="973"/>
      <c r="G94" s="973"/>
      <c r="H94" s="385"/>
      <c r="I94" s="405"/>
    </row>
    <row r="95" spans="1:9" x14ac:dyDescent="0.2">
      <c r="A95" s="775"/>
      <c r="B95" s="776"/>
      <c r="C95" s="776"/>
      <c r="D95" s="776"/>
      <c r="E95" s="776"/>
      <c r="F95" s="776"/>
      <c r="G95" s="776"/>
      <c r="H95" s="398"/>
      <c r="I95" s="417"/>
    </row>
    <row r="96" spans="1:9" x14ac:dyDescent="0.2">
      <c r="A96" s="678" t="s">
        <v>902</v>
      </c>
      <c r="B96" s="793"/>
      <c r="C96" s="793"/>
      <c r="D96" s="793"/>
      <c r="E96" s="793"/>
      <c r="F96" s="793"/>
      <c r="G96" s="793"/>
      <c r="H96" s="387"/>
      <c r="I96" s="408"/>
    </row>
    <row r="97" spans="1:9" ht="24" x14ac:dyDescent="0.2">
      <c r="A97" s="156" t="s">
        <v>340</v>
      </c>
      <c r="B97" s="791" t="s">
        <v>908</v>
      </c>
      <c r="C97" s="792"/>
      <c r="D97" s="792"/>
      <c r="E97" s="792"/>
      <c r="F97" s="288" t="s">
        <v>563</v>
      </c>
      <c r="G97" s="311" t="s">
        <v>331</v>
      </c>
      <c r="H97" s="434" t="s">
        <v>563</v>
      </c>
      <c r="I97" s="401" t="s">
        <v>331</v>
      </c>
    </row>
    <row r="98" spans="1:9" x14ac:dyDescent="0.2">
      <c r="A98" s="160" t="s">
        <v>316</v>
      </c>
      <c r="B98" s="804" t="s">
        <v>904</v>
      </c>
      <c r="C98" s="679"/>
      <c r="D98" s="679"/>
      <c r="E98" s="679"/>
      <c r="F98" s="288">
        <f>(8.33%+(8.33%*1/3))/12</f>
        <v>9.2555555555555551E-3</v>
      </c>
      <c r="G98" s="319">
        <f>F98*G35</f>
        <v>22.81545903229798</v>
      </c>
      <c r="H98" s="434">
        <f>(8.33%+(8.33%*1/3))/12</f>
        <v>9.2555555555555551E-3</v>
      </c>
      <c r="I98" s="404">
        <f>H98*I35</f>
        <v>23.660277998106057</v>
      </c>
    </row>
    <row r="99" spans="1:9" x14ac:dyDescent="0.2">
      <c r="A99" s="160" t="s">
        <v>318</v>
      </c>
      <c r="B99" s="804" t="s">
        <v>980</v>
      </c>
      <c r="C99" s="679"/>
      <c r="D99" s="679"/>
      <c r="E99" s="679"/>
      <c r="F99" s="288">
        <f>(1/12)/30</f>
        <v>2.7777777777777775E-3</v>
      </c>
      <c r="G99" s="319">
        <f>F99*G35</f>
        <v>6.8473766603535351</v>
      </c>
      <c r="H99" s="434">
        <f>(1/12)/30</f>
        <v>2.7777777777777775E-3</v>
      </c>
      <c r="I99" s="404">
        <f>H99*I35</f>
        <v>7.1009237689393929</v>
      </c>
    </row>
    <row r="100" spans="1:9" x14ac:dyDescent="0.2">
      <c r="A100" s="160" t="s">
        <v>321</v>
      </c>
      <c r="B100" s="804" t="s">
        <v>981</v>
      </c>
      <c r="C100" s="679"/>
      <c r="D100" s="679"/>
      <c r="E100" s="679"/>
      <c r="F100" s="294">
        <f>1.5%/12</f>
        <v>1.25E-3</v>
      </c>
      <c r="G100" s="319">
        <f>F100*G35</f>
        <v>3.0813194971590914</v>
      </c>
      <c r="H100" s="441">
        <f>1.5%/12</f>
        <v>1.25E-3</v>
      </c>
      <c r="I100" s="404">
        <f>H100*I35</f>
        <v>3.1954156960227271</v>
      </c>
    </row>
    <row r="101" spans="1:9" ht="27.75" customHeight="1" x14ac:dyDescent="0.2">
      <c r="A101" s="160" t="s">
        <v>322</v>
      </c>
      <c r="B101" s="804" t="s">
        <v>986</v>
      </c>
      <c r="C101" s="679"/>
      <c r="D101" s="679"/>
      <c r="E101" s="679"/>
      <c r="F101" s="292">
        <f>8%/12/2</f>
        <v>3.3333333333333335E-3</v>
      </c>
      <c r="G101" s="319">
        <f>F101*$G$35</f>
        <v>8.2168519924242442</v>
      </c>
      <c r="H101" s="441">
        <f>8%/12/2</f>
        <v>3.3333333333333335E-3</v>
      </c>
      <c r="I101" s="404">
        <f>H101*$I$35</f>
        <v>8.5211085227272729</v>
      </c>
    </row>
    <row r="102" spans="1:9" ht="27.75" customHeight="1" x14ac:dyDescent="0.2">
      <c r="A102" s="160" t="s">
        <v>333</v>
      </c>
      <c r="B102" s="804" t="s">
        <v>983</v>
      </c>
      <c r="C102" s="679"/>
      <c r="D102" s="679"/>
      <c r="E102" s="679"/>
      <c r="F102" s="295">
        <f>1.5%/12</f>
        <v>1.25E-3</v>
      </c>
      <c r="G102" s="319">
        <f t="shared" ref="G102:G103" si="3">F102*$G$35</f>
        <v>3.0813194971590914</v>
      </c>
      <c r="H102" s="442">
        <f>1.5%/12</f>
        <v>1.25E-3</v>
      </c>
      <c r="I102" s="404">
        <f>H102*$I$35</f>
        <v>3.1954156960227271</v>
      </c>
    </row>
    <row r="103" spans="1:9" x14ac:dyDescent="0.2">
      <c r="A103" s="160" t="s">
        <v>334</v>
      </c>
      <c r="B103" s="804" t="s">
        <v>907</v>
      </c>
      <c r="C103" s="679"/>
      <c r="D103" s="679"/>
      <c r="E103" s="679"/>
      <c r="F103" s="288">
        <f>(5/12)/30</f>
        <v>1.388888888888889E-2</v>
      </c>
      <c r="G103" s="319">
        <f t="shared" si="3"/>
        <v>34.236883301767683</v>
      </c>
      <c r="H103" s="434">
        <f>(5/12)/30</f>
        <v>1.388888888888889E-2</v>
      </c>
      <c r="I103" s="404">
        <f>H103*$I$35</f>
        <v>35.504618844696971</v>
      </c>
    </row>
    <row r="104" spans="1:9" x14ac:dyDescent="0.2">
      <c r="A104" s="157"/>
      <c r="B104" s="752" t="s">
        <v>352</v>
      </c>
      <c r="C104" s="781"/>
      <c r="D104" s="781"/>
      <c r="E104" s="788"/>
      <c r="F104" s="289">
        <f>SUM(F98:F103)</f>
        <v>3.1755555555555558E-2</v>
      </c>
      <c r="G104" s="317">
        <f>SUM(G98:G103)</f>
        <v>78.279209981161628</v>
      </c>
      <c r="H104" s="438">
        <f>SUM(H98:H103)</f>
        <v>3.1755555555555558E-2</v>
      </c>
      <c r="I104" s="403">
        <f>SUM(I98:I103)</f>
        <v>81.177760526515158</v>
      </c>
    </row>
    <row r="105" spans="1:9" ht="18" customHeight="1" x14ac:dyDescent="0.2">
      <c r="A105" s="972" t="s">
        <v>1064</v>
      </c>
      <c r="B105" s="973"/>
      <c r="C105" s="973"/>
      <c r="D105" s="973"/>
      <c r="E105" s="973"/>
      <c r="F105" s="973"/>
      <c r="G105" s="973"/>
      <c r="H105" s="385"/>
      <c r="I105" s="405"/>
    </row>
    <row r="106" spans="1:9" x14ac:dyDescent="0.2">
      <c r="A106" s="791"/>
      <c r="B106" s="792"/>
      <c r="C106" s="792"/>
      <c r="D106" s="792"/>
      <c r="E106" s="792"/>
      <c r="F106" s="792"/>
      <c r="G106" s="792"/>
      <c r="H106" s="380"/>
      <c r="I106" s="401"/>
    </row>
    <row r="107" spans="1:9" x14ac:dyDescent="0.2">
      <c r="A107" s="678" t="s">
        <v>911</v>
      </c>
      <c r="B107" s="793"/>
      <c r="C107" s="793"/>
      <c r="D107" s="793"/>
      <c r="E107" s="793"/>
      <c r="F107" s="793"/>
      <c r="G107" s="793"/>
      <c r="H107" s="387"/>
      <c r="I107" s="408"/>
    </row>
    <row r="108" spans="1:9" ht="24" x14ac:dyDescent="0.2">
      <c r="A108" s="160" t="s">
        <v>347</v>
      </c>
      <c r="B108" s="791" t="s">
        <v>912</v>
      </c>
      <c r="C108" s="792"/>
      <c r="D108" s="792"/>
      <c r="E108" s="809"/>
      <c r="F108" s="288" t="s">
        <v>563</v>
      </c>
      <c r="G108" s="311" t="s">
        <v>331</v>
      </c>
      <c r="H108" s="434" t="s">
        <v>563</v>
      </c>
      <c r="I108" s="401" t="s">
        <v>331</v>
      </c>
    </row>
    <row r="109" spans="1:9" x14ac:dyDescent="0.2">
      <c r="A109" s="160" t="s">
        <v>316</v>
      </c>
      <c r="B109" s="804" t="s">
        <v>913</v>
      </c>
      <c r="C109" s="679"/>
      <c r="D109" s="679"/>
      <c r="E109" s="680"/>
      <c r="F109" s="296"/>
      <c r="G109" s="319"/>
      <c r="H109" s="453"/>
      <c r="I109" s="404"/>
    </row>
    <row r="110" spans="1:9" x14ac:dyDescent="0.2">
      <c r="A110" s="157"/>
      <c r="B110" s="752" t="s">
        <v>352</v>
      </c>
      <c r="C110" s="781"/>
      <c r="D110" s="781"/>
      <c r="E110" s="788"/>
      <c r="F110" s="297"/>
      <c r="G110" s="324"/>
      <c r="H110" s="454"/>
      <c r="I110" s="457"/>
    </row>
    <row r="111" spans="1:9" ht="15" customHeight="1" x14ac:dyDescent="0.2">
      <c r="A111" s="972" t="s">
        <v>1065</v>
      </c>
      <c r="B111" s="973"/>
      <c r="C111" s="973"/>
      <c r="D111" s="973"/>
      <c r="E111" s="973"/>
      <c r="F111" s="973"/>
      <c r="G111" s="973"/>
      <c r="H111" s="385"/>
      <c r="I111" s="405"/>
    </row>
    <row r="112" spans="1:9" x14ac:dyDescent="0.2">
      <c r="A112" s="775"/>
      <c r="B112" s="776"/>
      <c r="C112" s="776"/>
      <c r="D112" s="776"/>
      <c r="E112" s="776"/>
      <c r="F112" s="776"/>
      <c r="G112" s="776"/>
      <c r="H112" s="398"/>
      <c r="I112" s="417"/>
    </row>
    <row r="113" spans="1:9" x14ac:dyDescent="0.2">
      <c r="A113" s="157"/>
      <c r="B113" s="752" t="s">
        <v>887</v>
      </c>
      <c r="C113" s="781"/>
      <c r="D113" s="781"/>
      <c r="E113" s="781"/>
      <c r="F113" s="283"/>
      <c r="G113" s="320"/>
      <c r="H113" s="435"/>
      <c r="I113" s="424"/>
    </row>
    <row r="114" spans="1:9" ht="24" x14ac:dyDescent="0.2">
      <c r="A114" s="160">
        <v>4</v>
      </c>
      <c r="B114" s="820" t="s">
        <v>574</v>
      </c>
      <c r="C114" s="820"/>
      <c r="D114" s="820"/>
      <c r="E114" s="820"/>
      <c r="F114" s="288" t="s">
        <v>563</v>
      </c>
      <c r="G114" s="311" t="s">
        <v>331</v>
      </c>
      <c r="H114" s="434" t="s">
        <v>563</v>
      </c>
      <c r="I114" s="401" t="s">
        <v>331</v>
      </c>
    </row>
    <row r="115" spans="1:9" x14ac:dyDescent="0.2">
      <c r="A115" s="160" t="s">
        <v>340</v>
      </c>
      <c r="B115" s="819" t="s">
        <v>908</v>
      </c>
      <c r="C115" s="819"/>
      <c r="D115" s="819"/>
      <c r="E115" s="819"/>
      <c r="F115" s="288">
        <f>F104</f>
        <v>3.1755555555555558E-2</v>
      </c>
      <c r="G115" s="321">
        <f>G104</f>
        <v>78.279209981161628</v>
      </c>
      <c r="H115" s="434">
        <f>H104</f>
        <v>3.1755555555555558E-2</v>
      </c>
      <c r="I115" s="409">
        <f>I104</f>
        <v>81.177760526515158</v>
      </c>
    </row>
    <row r="116" spans="1:9" x14ac:dyDescent="0.2">
      <c r="A116" s="160" t="s">
        <v>347</v>
      </c>
      <c r="B116" s="819" t="s">
        <v>912</v>
      </c>
      <c r="C116" s="819"/>
      <c r="D116" s="819"/>
      <c r="E116" s="819"/>
      <c r="F116" s="288"/>
      <c r="G116" s="325"/>
      <c r="H116" s="434"/>
      <c r="I116" s="415"/>
    </row>
    <row r="117" spans="1:9" x14ac:dyDescent="0.2">
      <c r="A117" s="132"/>
      <c r="B117" s="752" t="s">
        <v>352</v>
      </c>
      <c r="C117" s="781"/>
      <c r="D117" s="781"/>
      <c r="E117" s="788"/>
      <c r="F117" s="289"/>
      <c r="G117" s="317">
        <f>SUM(G115:G116)</f>
        <v>78.279209981161628</v>
      </c>
      <c r="H117" s="438"/>
      <c r="I117" s="403">
        <f>SUM(I115:I116)</f>
        <v>81.177760526515158</v>
      </c>
    </row>
    <row r="118" spans="1:9" x14ac:dyDescent="0.2">
      <c r="A118" s="156"/>
      <c r="B118" s="86"/>
      <c r="C118" s="86"/>
      <c r="D118" s="86"/>
      <c r="E118" s="86"/>
      <c r="F118" s="291"/>
      <c r="G118" s="326"/>
      <c r="H118" s="434"/>
      <c r="I118" s="414"/>
    </row>
    <row r="119" spans="1:9" x14ac:dyDescent="0.2">
      <c r="A119" s="157"/>
      <c r="B119" s="752" t="s">
        <v>888</v>
      </c>
      <c r="C119" s="781"/>
      <c r="D119" s="781"/>
      <c r="E119" s="781"/>
      <c r="F119" s="781"/>
      <c r="G119" s="320"/>
      <c r="H119" s="419"/>
      <c r="I119" s="424"/>
    </row>
    <row r="120" spans="1:9" x14ac:dyDescent="0.2">
      <c r="A120" s="160">
        <v>5</v>
      </c>
      <c r="B120" s="678" t="s">
        <v>338</v>
      </c>
      <c r="C120" s="793"/>
      <c r="D120" s="793"/>
      <c r="E120" s="793"/>
      <c r="F120" s="818"/>
      <c r="G120" s="311" t="s">
        <v>331</v>
      </c>
      <c r="H120" s="380"/>
      <c r="I120" s="401" t="s">
        <v>331</v>
      </c>
    </row>
    <row r="121" spans="1:9" x14ac:dyDescent="0.2">
      <c r="A121" s="160" t="s">
        <v>316</v>
      </c>
      <c r="B121" s="804" t="s">
        <v>339</v>
      </c>
      <c r="C121" s="679"/>
      <c r="D121" s="679"/>
      <c r="E121" s="679"/>
      <c r="F121" s="680"/>
      <c r="G121" s="327">
        <f>Uniformes!J23</f>
        <v>55.335000000000008</v>
      </c>
      <c r="H121" s="395"/>
      <c r="I121" s="414">
        <f>Uniformes!J23</f>
        <v>55.335000000000008</v>
      </c>
    </row>
    <row r="122" spans="1:9" x14ac:dyDescent="0.2">
      <c r="A122" s="160" t="s">
        <v>318</v>
      </c>
      <c r="B122" s="804" t="s">
        <v>583</v>
      </c>
      <c r="C122" s="679"/>
      <c r="D122" s="679"/>
      <c r="E122" s="679"/>
      <c r="F122" s="680"/>
      <c r="G122" s="327"/>
      <c r="H122" s="395"/>
      <c r="I122" s="414"/>
    </row>
    <row r="123" spans="1:9" x14ac:dyDescent="0.2">
      <c r="A123" s="156" t="s">
        <v>321</v>
      </c>
      <c r="B123" s="804" t="s">
        <v>584</v>
      </c>
      <c r="C123" s="679"/>
      <c r="D123" s="679"/>
      <c r="E123" s="679"/>
      <c r="F123" s="680"/>
      <c r="G123" s="327">
        <f>'Ferramentas - Equipts'!F110</f>
        <v>44.99</v>
      </c>
      <c r="H123" s="395"/>
      <c r="I123" s="414">
        <f>'Ferramentas - Equipts'!F110</f>
        <v>44.99</v>
      </c>
    </row>
    <row r="124" spans="1:9" x14ac:dyDescent="0.2">
      <c r="A124" s="156" t="s">
        <v>322</v>
      </c>
      <c r="B124" s="804" t="s">
        <v>575</v>
      </c>
      <c r="C124" s="679"/>
      <c r="D124" s="679"/>
      <c r="E124" s="679"/>
      <c r="F124" s="680"/>
      <c r="G124" s="327"/>
      <c r="H124" s="395"/>
      <c r="I124" s="414"/>
    </row>
    <row r="125" spans="1:9" x14ac:dyDescent="0.2">
      <c r="A125" s="157"/>
      <c r="B125" s="752" t="s">
        <v>352</v>
      </c>
      <c r="C125" s="781"/>
      <c r="D125" s="781"/>
      <c r="E125" s="781"/>
      <c r="F125" s="788"/>
      <c r="G125" s="317">
        <f>SUM(G121:G124)</f>
        <v>100.32500000000002</v>
      </c>
      <c r="H125" s="389"/>
      <c r="I125" s="403">
        <f>SUM(I121:I124)</f>
        <v>100.32500000000002</v>
      </c>
    </row>
    <row r="126" spans="1:9" x14ac:dyDescent="0.2">
      <c r="A126" s="845" t="s">
        <v>1039</v>
      </c>
      <c r="B126" s="846"/>
      <c r="C126" s="846"/>
      <c r="D126" s="846"/>
      <c r="E126" s="846"/>
      <c r="F126" s="846"/>
      <c r="G126" s="846"/>
      <c r="H126" s="385"/>
      <c r="I126" s="405"/>
    </row>
    <row r="127" spans="1:9" x14ac:dyDescent="0.2">
      <c r="A127" s="128"/>
      <c r="B127" s="84"/>
      <c r="C127" s="84"/>
      <c r="D127" s="84"/>
      <c r="E127" s="84"/>
      <c r="F127" s="291"/>
      <c r="G127" s="328"/>
      <c r="H127" s="434"/>
      <c r="I127" s="415"/>
    </row>
    <row r="128" spans="1:9" x14ac:dyDescent="0.2">
      <c r="A128" s="132"/>
      <c r="B128" s="752" t="s">
        <v>891</v>
      </c>
      <c r="C128" s="781"/>
      <c r="D128" s="781"/>
      <c r="E128" s="781"/>
      <c r="F128" s="781"/>
      <c r="G128" s="320"/>
      <c r="H128" s="419"/>
      <c r="I128" s="424"/>
    </row>
    <row r="129" spans="1:9" x14ac:dyDescent="0.2">
      <c r="A129" s="160">
        <v>6</v>
      </c>
      <c r="B129" s="820" t="s">
        <v>349</v>
      </c>
      <c r="C129" s="820"/>
      <c r="D129" s="820"/>
      <c r="E129" s="874" t="s">
        <v>563</v>
      </c>
      <c r="F129" s="874"/>
      <c r="G129" s="329" t="s">
        <v>331</v>
      </c>
      <c r="H129" s="396"/>
      <c r="I129" s="402" t="s">
        <v>331</v>
      </c>
    </row>
    <row r="130" spans="1:9" ht="12.75" customHeight="1" x14ac:dyDescent="0.2">
      <c r="A130" s="160" t="s">
        <v>316</v>
      </c>
      <c r="B130" s="804" t="s">
        <v>350</v>
      </c>
      <c r="C130" s="679"/>
      <c r="D130" s="680"/>
      <c r="E130" s="847">
        <f>ADM</f>
        <v>2.3199999999999998E-2</v>
      </c>
      <c r="F130" s="848"/>
      <c r="G130" s="327">
        <f>(G35+G81+G91+G117+G125)*E130</f>
        <v>101.08982061188296</v>
      </c>
      <c r="H130" s="395"/>
      <c r="I130" s="414">
        <f>(I35+I81+I91+I117+I125)*E130</f>
        <v>104.7840311833106</v>
      </c>
    </row>
    <row r="131" spans="1:9" ht="12.75" customHeight="1" x14ac:dyDescent="0.2">
      <c r="A131" s="160" t="s">
        <v>318</v>
      </c>
      <c r="B131" s="804" t="s">
        <v>576</v>
      </c>
      <c r="C131" s="679"/>
      <c r="D131" s="680"/>
      <c r="E131" s="847">
        <f>LUCRO_ENGEMIL</f>
        <v>2.3300000000000001E-2</v>
      </c>
      <c r="F131" s="848"/>
      <c r="G131" s="327">
        <f>(G35+G81+G91+G117+G125+G130)*E131</f>
        <v>103.88094541753588</v>
      </c>
      <c r="H131" s="395"/>
      <c r="I131" s="414">
        <f>(I35+I81+I91+I117+I125+I130)*E131</f>
        <v>107.67715441670636</v>
      </c>
    </row>
    <row r="132" spans="1:9" x14ac:dyDescent="0.2">
      <c r="A132" s="160" t="s">
        <v>321</v>
      </c>
      <c r="B132" s="804" t="s">
        <v>351</v>
      </c>
      <c r="C132" s="679"/>
      <c r="D132" s="680"/>
      <c r="E132" s="847">
        <f>SUM(E133:F134)</f>
        <v>0.10150000000000001</v>
      </c>
      <c r="F132" s="848"/>
      <c r="G132" s="325"/>
      <c r="H132" s="397"/>
      <c r="I132" s="415"/>
    </row>
    <row r="133" spans="1:9" ht="26.25" customHeight="1" x14ac:dyDescent="0.2">
      <c r="A133" s="143"/>
      <c r="B133" s="819" t="s">
        <v>971</v>
      </c>
      <c r="C133" s="819"/>
      <c r="D133" s="819"/>
      <c r="E133" s="847">
        <v>8.1500000000000003E-2</v>
      </c>
      <c r="F133" s="848"/>
      <c r="G133" s="327">
        <f>E133*G147</f>
        <v>413.83047916435856</v>
      </c>
      <c r="H133" s="395"/>
      <c r="I133" s="414">
        <f>E133*I147</f>
        <v>428.95343537947957</v>
      </c>
    </row>
    <row r="134" spans="1:9" ht="12.75" customHeight="1" x14ac:dyDescent="0.2">
      <c r="A134" s="143"/>
      <c r="B134" s="819" t="s">
        <v>972</v>
      </c>
      <c r="C134" s="819"/>
      <c r="D134" s="819"/>
      <c r="E134" s="847">
        <v>0.02</v>
      </c>
      <c r="F134" s="848"/>
      <c r="G134" s="327">
        <f>E134*G147</f>
        <v>101.5534918194745</v>
      </c>
      <c r="H134" s="395"/>
      <c r="I134" s="414">
        <f>E134*I147</f>
        <v>105.26464671889069</v>
      </c>
    </row>
    <row r="135" spans="1:9" x14ac:dyDescent="0.2">
      <c r="A135" s="157"/>
      <c r="B135" s="752" t="s">
        <v>352</v>
      </c>
      <c r="C135" s="781"/>
      <c r="D135" s="788"/>
      <c r="E135" s="849">
        <f>E130+E131+E132</f>
        <v>0.14800000000000002</v>
      </c>
      <c r="F135" s="788"/>
      <c r="G135" s="330">
        <f>SUM(G130:G134)</f>
        <v>720.35473701325191</v>
      </c>
      <c r="H135" s="389"/>
      <c r="I135" s="403">
        <f>SUM(I130:I134)</f>
        <v>746.67926769838721</v>
      </c>
    </row>
    <row r="136" spans="1:9" x14ac:dyDescent="0.2">
      <c r="A136" s="789" t="s">
        <v>1142</v>
      </c>
      <c r="B136" s="790"/>
      <c r="C136" s="790"/>
      <c r="D136" s="790"/>
      <c r="E136" s="790"/>
      <c r="F136" s="790"/>
      <c r="G136" s="790"/>
      <c r="H136" s="385"/>
      <c r="I136" s="405"/>
    </row>
    <row r="137" spans="1:9" x14ac:dyDescent="0.2">
      <c r="A137" s="789" t="s">
        <v>1143</v>
      </c>
      <c r="B137" s="790"/>
      <c r="C137" s="790"/>
      <c r="D137" s="790"/>
      <c r="E137" s="790"/>
      <c r="F137" s="790"/>
      <c r="G137" s="790"/>
      <c r="H137" s="385"/>
      <c r="I137" s="405"/>
    </row>
    <row r="138" spans="1:9" x14ac:dyDescent="0.2">
      <c r="A138" s="132"/>
      <c r="B138" s="781" t="s">
        <v>577</v>
      </c>
      <c r="C138" s="781"/>
      <c r="D138" s="781"/>
      <c r="E138" s="781"/>
      <c r="F138" s="781"/>
      <c r="G138" s="320"/>
      <c r="H138" s="419"/>
      <c r="I138" s="424"/>
    </row>
    <row r="139" spans="1:9" x14ac:dyDescent="0.2">
      <c r="A139" s="155"/>
      <c r="B139" s="791" t="s">
        <v>353</v>
      </c>
      <c r="C139" s="792"/>
      <c r="D139" s="792"/>
      <c r="E139" s="792"/>
      <c r="F139" s="809"/>
      <c r="G139" s="310" t="s">
        <v>354</v>
      </c>
      <c r="H139" s="398"/>
      <c r="I139" s="417" t="s">
        <v>354</v>
      </c>
    </row>
    <row r="140" spans="1:9" x14ac:dyDescent="0.2">
      <c r="A140" s="160" t="s">
        <v>316</v>
      </c>
      <c r="B140" s="844" t="s">
        <v>947</v>
      </c>
      <c r="C140" s="842"/>
      <c r="D140" s="842"/>
      <c r="E140" s="842"/>
      <c r="F140" s="843"/>
      <c r="G140" s="331">
        <f>G35</f>
        <v>2465.0555977272729</v>
      </c>
      <c r="H140" s="399"/>
      <c r="I140" s="418">
        <f>I35</f>
        <v>2556.3325568181817</v>
      </c>
    </row>
    <row r="141" spans="1:9" x14ac:dyDescent="0.2">
      <c r="A141" s="160" t="s">
        <v>318</v>
      </c>
      <c r="B141" s="844" t="s">
        <v>968</v>
      </c>
      <c r="C141" s="842"/>
      <c r="D141" s="842"/>
      <c r="E141" s="842"/>
      <c r="F141" s="843"/>
      <c r="G141" s="331">
        <f>G81</f>
        <v>1598.8926619997098</v>
      </c>
      <c r="H141" s="399"/>
      <c r="I141" s="418">
        <f>I81</f>
        <v>1659.7185292787226</v>
      </c>
    </row>
    <row r="142" spans="1:9" x14ac:dyDescent="0.2">
      <c r="A142" s="160" t="s">
        <v>321</v>
      </c>
      <c r="B142" s="844" t="s">
        <v>949</v>
      </c>
      <c r="C142" s="842"/>
      <c r="D142" s="842"/>
      <c r="E142" s="842"/>
      <c r="F142" s="843"/>
      <c r="G142" s="331">
        <f>G91</f>
        <v>114.76738425232874</v>
      </c>
      <c r="H142" s="399"/>
      <c r="I142" s="418">
        <f>I91</f>
        <v>118.99922162272708</v>
      </c>
    </row>
    <row r="143" spans="1:9" x14ac:dyDescent="0.2">
      <c r="A143" s="160" t="s">
        <v>322</v>
      </c>
      <c r="B143" s="844" t="s">
        <v>950</v>
      </c>
      <c r="C143" s="842"/>
      <c r="D143" s="842"/>
      <c r="E143" s="842"/>
      <c r="F143" s="843"/>
      <c r="G143" s="331">
        <f>G117</f>
        <v>78.279209981161628</v>
      </c>
      <c r="H143" s="399"/>
      <c r="I143" s="418">
        <f>I117</f>
        <v>81.177760526515158</v>
      </c>
    </row>
    <row r="144" spans="1:9" x14ac:dyDescent="0.2">
      <c r="A144" s="160" t="s">
        <v>333</v>
      </c>
      <c r="B144" s="842" t="s">
        <v>969</v>
      </c>
      <c r="C144" s="842"/>
      <c r="D144" s="842"/>
      <c r="E144" s="842"/>
      <c r="F144" s="843"/>
      <c r="G144" s="331">
        <f>G125</f>
        <v>100.32500000000002</v>
      </c>
      <c r="H144" s="399"/>
      <c r="I144" s="418">
        <f>I125</f>
        <v>100.32500000000002</v>
      </c>
    </row>
    <row r="145" spans="1:9" x14ac:dyDescent="0.2">
      <c r="A145" s="137"/>
      <c r="B145" s="1008" t="s">
        <v>578</v>
      </c>
      <c r="C145" s="822"/>
      <c r="D145" s="822"/>
      <c r="E145" s="822"/>
      <c r="F145" s="823"/>
      <c r="G145" s="331">
        <f>SUM(G140:G144)</f>
        <v>4357.3198539604728</v>
      </c>
      <c r="H145" s="399"/>
      <c r="I145" s="418">
        <f>SUM(I140:I144)</f>
        <v>4516.5530682461467</v>
      </c>
    </row>
    <row r="146" spans="1:9" x14ac:dyDescent="0.2">
      <c r="A146" s="136" t="s">
        <v>334</v>
      </c>
      <c r="B146" s="844" t="s">
        <v>965</v>
      </c>
      <c r="C146" s="842"/>
      <c r="D146" s="842"/>
      <c r="E146" s="842"/>
      <c r="F146" s="843"/>
      <c r="G146" s="331">
        <f>G135</f>
        <v>720.35473701325191</v>
      </c>
      <c r="H146" s="399"/>
      <c r="I146" s="418">
        <f>I135</f>
        <v>746.67926769838721</v>
      </c>
    </row>
    <row r="147" spans="1:9" ht="16.5" thickBot="1" x14ac:dyDescent="0.25">
      <c r="A147" s="89"/>
      <c r="B147" s="766" t="s">
        <v>355</v>
      </c>
      <c r="C147" s="767"/>
      <c r="D147" s="767"/>
      <c r="E147" s="767"/>
      <c r="F147" s="768"/>
      <c r="G147" s="428">
        <f>(G130+G131+G145)/(1-E132)</f>
        <v>5077.6745909737247</v>
      </c>
      <c r="H147" s="429"/>
      <c r="I147" s="430">
        <f>(I130+I131+I145)/(1-E132)</f>
        <v>5263.2323359445345</v>
      </c>
    </row>
  </sheetData>
  <mergeCells count="178">
    <mergeCell ref="F27:G27"/>
    <mergeCell ref="H25:I25"/>
    <mergeCell ref="H26:I26"/>
    <mergeCell ref="H10:I10"/>
    <mergeCell ref="H11:I11"/>
    <mergeCell ref="H12:I12"/>
    <mergeCell ref="H13:I13"/>
    <mergeCell ref="H15:I15"/>
    <mergeCell ref="H16:I16"/>
    <mergeCell ref="H17:I18"/>
    <mergeCell ref="H22:I22"/>
    <mergeCell ref="H23:I23"/>
    <mergeCell ref="H20:I21"/>
    <mergeCell ref="H14:I14"/>
    <mergeCell ref="H19:I19"/>
    <mergeCell ref="A6:G6"/>
    <mergeCell ref="A9:G9"/>
    <mergeCell ref="A1:G1"/>
    <mergeCell ref="A2:G3"/>
    <mergeCell ref="A4:G4"/>
    <mergeCell ref="A5:G5"/>
    <mergeCell ref="B10:E10"/>
    <mergeCell ref="F10:G10"/>
    <mergeCell ref="H24:I24"/>
    <mergeCell ref="B11:E11"/>
    <mergeCell ref="F11:G11"/>
    <mergeCell ref="A7:G7"/>
    <mergeCell ref="A8:G8"/>
    <mergeCell ref="A16:D16"/>
    <mergeCell ref="F16:G16"/>
    <mergeCell ref="A19:G19"/>
    <mergeCell ref="A20:G20"/>
    <mergeCell ref="B12:E12"/>
    <mergeCell ref="F12:G12"/>
    <mergeCell ref="B13:E13"/>
    <mergeCell ref="F13:G13"/>
    <mergeCell ref="A14:G14"/>
    <mergeCell ref="A15:D15"/>
    <mergeCell ref="F15:G15"/>
    <mergeCell ref="A17:E17"/>
    <mergeCell ref="F17:G18"/>
    <mergeCell ref="A18:E18"/>
    <mergeCell ref="B25:E25"/>
    <mergeCell ref="F25:G25"/>
    <mergeCell ref="B26:E26"/>
    <mergeCell ref="F26:G26"/>
    <mergeCell ref="A21:G21"/>
    <mergeCell ref="B22:E22"/>
    <mergeCell ref="F22:G22"/>
    <mergeCell ref="B23:E23"/>
    <mergeCell ref="F23:G23"/>
    <mergeCell ref="B24:E24"/>
    <mergeCell ref="F24:G24"/>
    <mergeCell ref="B34:E34"/>
    <mergeCell ref="B35:E35"/>
    <mergeCell ref="A37:G37"/>
    <mergeCell ref="A36:G36"/>
    <mergeCell ref="B43:E43"/>
    <mergeCell ref="B28:E28"/>
    <mergeCell ref="B29:E29"/>
    <mergeCell ref="B30:E30"/>
    <mergeCell ref="B31:E31"/>
    <mergeCell ref="B32:E32"/>
    <mergeCell ref="B33:E33"/>
    <mergeCell ref="A45:G45"/>
    <mergeCell ref="A48:G48"/>
    <mergeCell ref="B49:E49"/>
    <mergeCell ref="B50:E50"/>
    <mergeCell ref="B51:E51"/>
    <mergeCell ref="B52:E52"/>
    <mergeCell ref="A39:G39"/>
    <mergeCell ref="B40:F40"/>
    <mergeCell ref="B41:E41"/>
    <mergeCell ref="B42:E42"/>
    <mergeCell ref="A44:G44"/>
    <mergeCell ref="B58:E58"/>
    <mergeCell ref="A47:G47"/>
    <mergeCell ref="A46:G46"/>
    <mergeCell ref="B64:F64"/>
    <mergeCell ref="B65:F65"/>
    <mergeCell ref="B66:F66"/>
    <mergeCell ref="B67:F67"/>
    <mergeCell ref="B68:F68"/>
    <mergeCell ref="B69:F69"/>
    <mergeCell ref="A59:G59"/>
    <mergeCell ref="A60:G60"/>
    <mergeCell ref="A61:G61"/>
    <mergeCell ref="A63:G63"/>
    <mergeCell ref="B53:E53"/>
    <mergeCell ref="B54:E54"/>
    <mergeCell ref="B55:E55"/>
    <mergeCell ref="B56:E56"/>
    <mergeCell ref="B57:E57"/>
    <mergeCell ref="B91:E91"/>
    <mergeCell ref="B77:F77"/>
    <mergeCell ref="B78:F78"/>
    <mergeCell ref="B79:F79"/>
    <mergeCell ref="B80:F80"/>
    <mergeCell ref="B70:F70"/>
    <mergeCell ref="B71:F71"/>
    <mergeCell ref="B72:F72"/>
    <mergeCell ref="A73:G73"/>
    <mergeCell ref="A74:G74"/>
    <mergeCell ref="B81:F81"/>
    <mergeCell ref="B87:E87"/>
    <mergeCell ref="B88:E88"/>
    <mergeCell ref="B89:E89"/>
    <mergeCell ref="B90:E90"/>
    <mergeCell ref="A82:G82"/>
    <mergeCell ref="B84:E84"/>
    <mergeCell ref="B85:E85"/>
    <mergeCell ref="B86:E86"/>
    <mergeCell ref="B97:E97"/>
    <mergeCell ref="B98:E98"/>
    <mergeCell ref="B99:E99"/>
    <mergeCell ref="B100:E100"/>
    <mergeCell ref="B101:E101"/>
    <mergeCell ref="B102:E102"/>
    <mergeCell ref="A94:G94"/>
    <mergeCell ref="A95:G95"/>
    <mergeCell ref="A96:G96"/>
    <mergeCell ref="B108:E108"/>
    <mergeCell ref="B109:E109"/>
    <mergeCell ref="A111:G111"/>
    <mergeCell ref="B103:E103"/>
    <mergeCell ref="A105:G105"/>
    <mergeCell ref="A106:G106"/>
    <mergeCell ref="A107:G107"/>
    <mergeCell ref="B104:E104"/>
    <mergeCell ref="B110:E110"/>
    <mergeCell ref="B123:F123"/>
    <mergeCell ref="B124:F124"/>
    <mergeCell ref="A126:G126"/>
    <mergeCell ref="B125:F125"/>
    <mergeCell ref="B120:F120"/>
    <mergeCell ref="B121:F121"/>
    <mergeCell ref="B122:F122"/>
    <mergeCell ref="A112:G112"/>
    <mergeCell ref="B114:E114"/>
    <mergeCell ref="B115:E115"/>
    <mergeCell ref="B116:E116"/>
    <mergeCell ref="B117:E117"/>
    <mergeCell ref="E132:F132"/>
    <mergeCell ref="B133:D133"/>
    <mergeCell ref="E133:F133"/>
    <mergeCell ref="B134:D134"/>
    <mergeCell ref="E134:F134"/>
    <mergeCell ref="B135:D135"/>
    <mergeCell ref="B129:D129"/>
    <mergeCell ref="E129:F129"/>
    <mergeCell ref="B130:D130"/>
    <mergeCell ref="E130:F130"/>
    <mergeCell ref="B131:D131"/>
    <mergeCell ref="E131:F131"/>
    <mergeCell ref="H2:I4"/>
    <mergeCell ref="H5:I9"/>
    <mergeCell ref="B147:F147"/>
    <mergeCell ref="B27:E27"/>
    <mergeCell ref="B38:E38"/>
    <mergeCell ref="B76:F76"/>
    <mergeCell ref="B83:E83"/>
    <mergeCell ref="B93:E93"/>
    <mergeCell ref="B113:E113"/>
    <mergeCell ref="B119:F119"/>
    <mergeCell ref="B128:F128"/>
    <mergeCell ref="B138:F138"/>
    <mergeCell ref="B145:F145"/>
    <mergeCell ref="B142:F142"/>
    <mergeCell ref="B143:F143"/>
    <mergeCell ref="B144:F144"/>
    <mergeCell ref="B146:F146"/>
    <mergeCell ref="B139:F139"/>
    <mergeCell ref="B140:F140"/>
    <mergeCell ref="B141:F141"/>
    <mergeCell ref="E135:F135"/>
    <mergeCell ref="A136:G136"/>
    <mergeCell ref="A137:G137"/>
    <mergeCell ref="B132:D132"/>
  </mergeCells>
  <printOptions horizontalCentered="1"/>
  <pageMargins left="0.53149606299212604" right="0.53149606299212604" top="1.1811023622047245" bottom="0.98425196850393704" header="0" footer="0"/>
  <pageSetup paperSize="9" scale="64"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J147"/>
  <sheetViews>
    <sheetView view="pageBreakPreview" topLeftCell="A49" zoomScale="120" zoomScaleNormal="140" zoomScaleSheetLayoutView="120" workbookViewId="0">
      <selection activeCell="H49" sqref="H49"/>
    </sheetView>
  </sheetViews>
  <sheetFormatPr defaultRowHeight="12.75" x14ac:dyDescent="0.2"/>
  <cols>
    <col min="1" max="2" width="9.140625" style="91"/>
    <col min="3" max="3" width="11.85546875" style="91" customWidth="1"/>
    <col min="4" max="4" width="22.28515625" style="91" customWidth="1"/>
    <col min="5" max="5" width="30.140625" style="91" customWidth="1"/>
    <col min="6" max="6" width="10.7109375" style="144" customWidth="1"/>
    <col min="7" max="7" width="15.7109375" style="91" customWidth="1"/>
    <col min="8" max="8" width="10.7109375" style="144" customWidth="1"/>
    <col min="9" max="9" width="15.7109375" style="91" customWidth="1"/>
    <col min="10" max="16384" width="9.140625" style="91"/>
  </cols>
  <sheetData>
    <row r="1" spans="1:9" ht="12.75" customHeight="1" thickBot="1" x14ac:dyDescent="0.25">
      <c r="A1" s="826"/>
      <c r="B1" s="826"/>
      <c r="C1" s="826"/>
      <c r="D1" s="826"/>
      <c r="E1" s="826"/>
      <c r="F1" s="826"/>
      <c r="G1" s="826"/>
      <c r="H1" s="313"/>
      <c r="I1" s="313"/>
    </row>
    <row r="2" spans="1:9" ht="36.75" customHeight="1" x14ac:dyDescent="0.2">
      <c r="A2" s="827" t="s">
        <v>1078</v>
      </c>
      <c r="B2" s="828"/>
      <c r="C2" s="828"/>
      <c r="D2" s="828"/>
      <c r="E2" s="828"/>
      <c r="F2" s="828"/>
      <c r="G2" s="828"/>
      <c r="H2" s="739" t="s">
        <v>1004</v>
      </c>
      <c r="I2" s="741"/>
    </row>
    <row r="3" spans="1:9" ht="35.25" customHeight="1" thickBot="1" x14ac:dyDescent="0.25">
      <c r="A3" s="829"/>
      <c r="B3" s="830"/>
      <c r="C3" s="830"/>
      <c r="D3" s="830"/>
      <c r="E3" s="830"/>
      <c r="F3" s="830"/>
      <c r="G3" s="830"/>
      <c r="H3" s="742"/>
      <c r="I3" s="744"/>
    </row>
    <row r="4" spans="1:9" ht="41.25" customHeight="1" x14ac:dyDescent="0.2">
      <c r="A4" s="872" t="s">
        <v>579</v>
      </c>
      <c r="B4" s="872"/>
      <c r="C4" s="872"/>
      <c r="D4" s="872"/>
      <c r="E4" s="872"/>
      <c r="F4" s="872"/>
      <c r="G4" s="873"/>
      <c r="H4" s="748"/>
      <c r="I4" s="749"/>
    </row>
    <row r="5" spans="1:9" ht="15" customHeight="1" x14ac:dyDescent="0.2">
      <c r="A5" s="785" t="s">
        <v>927</v>
      </c>
      <c r="B5" s="786"/>
      <c r="C5" s="786"/>
      <c r="D5" s="786"/>
      <c r="E5" s="786"/>
      <c r="F5" s="786"/>
      <c r="G5" s="786"/>
      <c r="H5" s="796" t="s">
        <v>1141</v>
      </c>
      <c r="I5" s="797"/>
    </row>
    <row r="6" spans="1:9" x14ac:dyDescent="0.2">
      <c r="A6" s="785" t="s">
        <v>928</v>
      </c>
      <c r="B6" s="786"/>
      <c r="C6" s="786"/>
      <c r="D6" s="786"/>
      <c r="E6" s="786"/>
      <c r="F6" s="786"/>
      <c r="G6" s="786"/>
      <c r="H6" s="796"/>
      <c r="I6" s="797"/>
    </row>
    <row r="7" spans="1:9" ht="12.75" customHeight="1" x14ac:dyDescent="0.2">
      <c r="A7" s="785" t="s">
        <v>929</v>
      </c>
      <c r="B7" s="786"/>
      <c r="C7" s="786"/>
      <c r="D7" s="786"/>
      <c r="E7" s="786"/>
      <c r="F7" s="786"/>
      <c r="G7" s="786"/>
      <c r="H7" s="796"/>
      <c r="I7" s="797"/>
    </row>
    <row r="8" spans="1:9" ht="12.75" customHeight="1" x14ac:dyDescent="0.2">
      <c r="A8" s="1009" t="s">
        <v>1148</v>
      </c>
      <c r="B8" s="1010"/>
      <c r="C8" s="1010"/>
      <c r="D8" s="1010"/>
      <c r="E8" s="1010"/>
      <c r="F8" s="1010"/>
      <c r="G8" s="1010"/>
      <c r="H8" s="796"/>
      <c r="I8" s="797"/>
    </row>
    <row r="9" spans="1:9" x14ac:dyDescent="0.2">
      <c r="A9" s="785" t="s">
        <v>546</v>
      </c>
      <c r="B9" s="786"/>
      <c r="C9" s="786"/>
      <c r="D9" s="786"/>
      <c r="E9" s="786"/>
      <c r="F9" s="786"/>
      <c r="G9" s="786"/>
      <c r="H9" s="796"/>
      <c r="I9" s="797"/>
    </row>
    <row r="10" spans="1:9" x14ac:dyDescent="0.2">
      <c r="A10" s="68" t="s">
        <v>316</v>
      </c>
      <c r="B10" s="1026" t="s">
        <v>317</v>
      </c>
      <c r="C10" s="1027"/>
      <c r="D10" s="1027"/>
      <c r="E10" s="1028"/>
      <c r="F10" s="773">
        <v>43580</v>
      </c>
      <c r="G10" s="774"/>
      <c r="H10" s="640">
        <v>43669</v>
      </c>
      <c r="I10" s="641"/>
    </row>
    <row r="11" spans="1:9" x14ac:dyDescent="0.2">
      <c r="A11" s="68" t="s">
        <v>318</v>
      </c>
      <c r="B11" s="1026" t="s">
        <v>319</v>
      </c>
      <c r="C11" s="1027"/>
      <c r="D11" s="1027"/>
      <c r="E11" s="1028"/>
      <c r="F11" s="775" t="s">
        <v>320</v>
      </c>
      <c r="G11" s="776"/>
      <c r="H11" s="642" t="s">
        <v>320</v>
      </c>
      <c r="I11" s="643"/>
    </row>
    <row r="12" spans="1:9" ht="28.5" customHeight="1" x14ac:dyDescent="0.2">
      <c r="A12" s="68" t="s">
        <v>321</v>
      </c>
      <c r="B12" s="1023" t="s">
        <v>605</v>
      </c>
      <c r="C12" s="1024"/>
      <c r="D12" s="1024"/>
      <c r="E12" s="1025"/>
      <c r="F12" s="752" t="s">
        <v>878</v>
      </c>
      <c r="G12" s="781"/>
      <c r="H12" s="954" t="s">
        <v>1152</v>
      </c>
      <c r="I12" s="955"/>
    </row>
    <row r="13" spans="1:9" x14ac:dyDescent="0.2">
      <c r="A13" s="68" t="s">
        <v>322</v>
      </c>
      <c r="B13" s="1026" t="s">
        <v>946</v>
      </c>
      <c r="C13" s="1027"/>
      <c r="D13" s="1027"/>
      <c r="E13" s="1028"/>
      <c r="F13" s="775">
        <v>24</v>
      </c>
      <c r="G13" s="776"/>
      <c r="H13" s="1013">
        <v>24</v>
      </c>
      <c r="I13" s="1014"/>
    </row>
    <row r="14" spans="1:9" x14ac:dyDescent="0.2">
      <c r="A14" s="752" t="s">
        <v>547</v>
      </c>
      <c r="B14" s="781"/>
      <c r="C14" s="781"/>
      <c r="D14" s="781"/>
      <c r="E14" s="781"/>
      <c r="F14" s="781"/>
      <c r="G14" s="781"/>
      <c r="H14" s="1021"/>
      <c r="I14" s="1022"/>
    </row>
    <row r="15" spans="1:9" ht="36" customHeight="1" x14ac:dyDescent="0.2">
      <c r="A15" s="787" t="s">
        <v>323</v>
      </c>
      <c r="B15" s="787"/>
      <c r="C15" s="787"/>
      <c r="D15" s="787"/>
      <c r="E15" s="343" t="s">
        <v>324</v>
      </c>
      <c r="F15" s="927" t="s">
        <v>899</v>
      </c>
      <c r="G15" s="928"/>
      <c r="H15" s="1015" t="s">
        <v>899</v>
      </c>
      <c r="I15" s="1016"/>
    </row>
    <row r="16" spans="1:9" ht="17.25" customHeight="1" x14ac:dyDescent="0.2">
      <c r="A16" s="1029" t="s">
        <v>922</v>
      </c>
      <c r="B16" s="1030"/>
      <c r="C16" s="1030"/>
      <c r="D16" s="1031"/>
      <c r="E16" s="78" t="s">
        <v>325</v>
      </c>
      <c r="F16" s="820">
        <v>4</v>
      </c>
      <c r="G16" s="791"/>
      <c r="H16" s="1017">
        <v>4</v>
      </c>
      <c r="I16" s="1018"/>
    </row>
    <row r="17" spans="1:9" ht="20.25" customHeight="1" x14ac:dyDescent="0.2">
      <c r="A17" s="972" t="s">
        <v>1050</v>
      </c>
      <c r="B17" s="973"/>
      <c r="C17" s="973"/>
      <c r="D17" s="973"/>
      <c r="E17" s="973"/>
      <c r="F17" s="820"/>
      <c r="G17" s="791"/>
      <c r="H17" s="1017"/>
      <c r="I17" s="1018"/>
    </row>
    <row r="18" spans="1:9" ht="22.5" customHeight="1" x14ac:dyDescent="0.2">
      <c r="A18" s="972" t="s">
        <v>1051</v>
      </c>
      <c r="B18" s="973"/>
      <c r="C18" s="973"/>
      <c r="D18" s="973"/>
      <c r="E18" s="973"/>
      <c r="F18" s="820"/>
      <c r="G18" s="791"/>
      <c r="H18" s="1017"/>
      <c r="I18" s="1018"/>
    </row>
    <row r="19" spans="1:9" x14ac:dyDescent="0.2">
      <c r="A19" s="769" t="s">
        <v>548</v>
      </c>
      <c r="B19" s="769"/>
      <c r="C19" s="769"/>
      <c r="D19" s="769"/>
      <c r="E19" s="769"/>
      <c r="F19" s="769"/>
      <c r="G19" s="752"/>
      <c r="H19" s="1021"/>
      <c r="I19" s="1022"/>
    </row>
    <row r="20" spans="1:9" x14ac:dyDescent="0.2">
      <c r="A20" s="836" t="s">
        <v>326</v>
      </c>
      <c r="B20" s="836"/>
      <c r="C20" s="836"/>
      <c r="D20" s="836"/>
      <c r="E20" s="836"/>
      <c r="F20" s="836"/>
      <c r="G20" s="837"/>
      <c r="H20" s="1019"/>
      <c r="I20" s="1020"/>
    </row>
    <row r="21" spans="1:9" x14ac:dyDescent="0.2">
      <c r="A21" s="836" t="s">
        <v>327</v>
      </c>
      <c r="B21" s="836"/>
      <c r="C21" s="836"/>
      <c r="D21" s="836"/>
      <c r="E21" s="836"/>
      <c r="F21" s="836"/>
      <c r="G21" s="837"/>
      <c r="H21" s="1019"/>
      <c r="I21" s="1020"/>
    </row>
    <row r="22" spans="1:9" ht="28.5" customHeight="1" x14ac:dyDescent="0.2">
      <c r="A22" s="68">
        <v>1</v>
      </c>
      <c r="B22" s="804" t="s">
        <v>586</v>
      </c>
      <c r="C22" s="679"/>
      <c r="D22" s="679"/>
      <c r="E22" s="680"/>
      <c r="F22" s="785" t="s">
        <v>618</v>
      </c>
      <c r="G22" s="786"/>
      <c r="H22" s="854" t="s">
        <v>618</v>
      </c>
      <c r="I22" s="855"/>
    </row>
    <row r="23" spans="1:9" x14ac:dyDescent="0.2">
      <c r="A23" s="68">
        <v>2</v>
      </c>
      <c r="B23" s="678" t="s">
        <v>549</v>
      </c>
      <c r="C23" s="793"/>
      <c r="D23" s="793"/>
      <c r="E23" s="818"/>
      <c r="F23" s="785" t="s">
        <v>591</v>
      </c>
      <c r="G23" s="786"/>
      <c r="H23" s="854" t="s">
        <v>591</v>
      </c>
      <c r="I23" s="855"/>
    </row>
    <row r="24" spans="1:9" x14ac:dyDescent="0.2">
      <c r="A24" s="68">
        <v>3</v>
      </c>
      <c r="B24" s="804" t="s">
        <v>550</v>
      </c>
      <c r="C24" s="679"/>
      <c r="D24" s="679"/>
      <c r="E24" s="680"/>
      <c r="F24" s="986">
        <v>1156.0899999999999</v>
      </c>
      <c r="G24" s="987"/>
      <c r="H24" s="988">
        <v>1198.8699999999999</v>
      </c>
      <c r="I24" s="989"/>
    </row>
    <row r="25" spans="1:9" ht="25.5" customHeight="1" x14ac:dyDescent="0.2">
      <c r="A25" s="68">
        <v>3</v>
      </c>
      <c r="B25" s="804" t="s">
        <v>329</v>
      </c>
      <c r="C25" s="679"/>
      <c r="D25" s="679"/>
      <c r="E25" s="680"/>
      <c r="F25" s="785" t="str">
        <f>F22</f>
        <v xml:space="preserve"> Ajudante de manutenção predial</v>
      </c>
      <c r="G25" s="786"/>
      <c r="H25" s="854" t="str">
        <f>H22</f>
        <v xml:space="preserve"> Ajudante de manutenção predial</v>
      </c>
      <c r="I25" s="855"/>
    </row>
    <row r="26" spans="1:9" ht="16.5" customHeight="1" x14ac:dyDescent="0.2">
      <c r="A26" s="68">
        <v>5</v>
      </c>
      <c r="B26" s="1032" t="s">
        <v>582</v>
      </c>
      <c r="C26" s="1033"/>
      <c r="D26" s="1033"/>
      <c r="E26" s="1034"/>
      <c r="F26" s="835" t="s">
        <v>619</v>
      </c>
      <c r="G26" s="792"/>
      <c r="H26" s="1011" t="s">
        <v>1155</v>
      </c>
      <c r="I26" s="1012"/>
    </row>
    <row r="27" spans="1:9" x14ac:dyDescent="0.2">
      <c r="A27" s="70"/>
      <c r="B27" s="891" t="s">
        <v>973</v>
      </c>
      <c r="C27" s="892"/>
      <c r="D27" s="892"/>
      <c r="E27" s="892"/>
      <c r="F27" s="74"/>
      <c r="G27" s="316"/>
      <c r="H27" s="345"/>
      <c r="I27" s="346"/>
    </row>
    <row r="28" spans="1:9" x14ac:dyDescent="0.2">
      <c r="A28" s="68">
        <v>1</v>
      </c>
      <c r="B28" s="791" t="s">
        <v>330</v>
      </c>
      <c r="C28" s="792"/>
      <c r="D28" s="792"/>
      <c r="E28" s="809"/>
      <c r="F28" s="303" t="s">
        <v>341</v>
      </c>
      <c r="G28" s="336" t="s">
        <v>331</v>
      </c>
      <c r="H28" s="347" t="s">
        <v>341</v>
      </c>
      <c r="I28" s="348" t="s">
        <v>331</v>
      </c>
    </row>
    <row r="29" spans="1:9" x14ac:dyDescent="0.2">
      <c r="A29" s="68" t="s">
        <v>316</v>
      </c>
      <c r="B29" s="804" t="s">
        <v>590</v>
      </c>
      <c r="C29" s="679"/>
      <c r="D29" s="679"/>
      <c r="E29" s="680"/>
      <c r="F29" s="255">
        <v>1</v>
      </c>
      <c r="G29" s="327">
        <f>F24</f>
        <v>1156.0899999999999</v>
      </c>
      <c r="H29" s="349">
        <v>1</v>
      </c>
      <c r="I29" s="350">
        <f>H24</f>
        <v>1198.8699999999999</v>
      </c>
    </row>
    <row r="30" spans="1:9" x14ac:dyDescent="0.2">
      <c r="A30" s="68" t="s">
        <v>318</v>
      </c>
      <c r="B30" s="1005" t="s">
        <v>934</v>
      </c>
      <c r="C30" s="1006"/>
      <c r="D30" s="1006"/>
      <c r="E30" s="1007"/>
      <c r="F30" s="255">
        <v>0</v>
      </c>
      <c r="G30" s="319">
        <f>G29*F30</f>
        <v>0</v>
      </c>
      <c r="H30" s="349">
        <v>0</v>
      </c>
      <c r="I30" s="351">
        <f>I29*H30</f>
        <v>0</v>
      </c>
    </row>
    <row r="31" spans="1:9" x14ac:dyDescent="0.2">
      <c r="A31" s="68" t="s">
        <v>321</v>
      </c>
      <c r="B31" s="804" t="s">
        <v>551</v>
      </c>
      <c r="C31" s="679"/>
      <c r="D31" s="679"/>
      <c r="E31" s="680"/>
      <c r="F31" s="255">
        <v>0</v>
      </c>
      <c r="G31" s="319">
        <f>G30*F31</f>
        <v>0</v>
      </c>
      <c r="H31" s="349">
        <v>0</v>
      </c>
      <c r="I31" s="351">
        <f>I30*H31</f>
        <v>0</v>
      </c>
    </row>
    <row r="32" spans="1:9" x14ac:dyDescent="0.2">
      <c r="A32" s="68" t="s">
        <v>322</v>
      </c>
      <c r="B32" s="804" t="s">
        <v>552</v>
      </c>
      <c r="C32" s="679"/>
      <c r="D32" s="679"/>
      <c r="E32" s="680"/>
      <c r="F32" s="255">
        <v>0</v>
      </c>
      <c r="G32" s="319">
        <f t="shared" ref="G32:G33" si="0">G31*F32</f>
        <v>0</v>
      </c>
      <c r="H32" s="349">
        <v>0</v>
      </c>
      <c r="I32" s="351">
        <f t="shared" ref="I32:I33" si="1">I31*H32</f>
        <v>0</v>
      </c>
    </row>
    <row r="33" spans="1:9" x14ac:dyDescent="0.2">
      <c r="A33" s="68" t="s">
        <v>333</v>
      </c>
      <c r="B33" s="804" t="s">
        <v>553</v>
      </c>
      <c r="C33" s="679"/>
      <c r="D33" s="679"/>
      <c r="E33" s="680"/>
      <c r="F33" s="255">
        <v>0</v>
      </c>
      <c r="G33" s="319">
        <f t="shared" si="0"/>
        <v>0</v>
      </c>
      <c r="H33" s="349">
        <v>0</v>
      </c>
      <c r="I33" s="351">
        <f t="shared" si="1"/>
        <v>0</v>
      </c>
    </row>
    <row r="34" spans="1:9" x14ac:dyDescent="0.2">
      <c r="A34" s="68" t="s">
        <v>334</v>
      </c>
      <c r="B34" s="804" t="s">
        <v>880</v>
      </c>
      <c r="C34" s="679"/>
      <c r="D34" s="679"/>
      <c r="E34" s="680"/>
      <c r="F34" s="255">
        <v>0</v>
      </c>
      <c r="G34" s="319">
        <v>0</v>
      </c>
      <c r="H34" s="349">
        <v>0</v>
      </c>
      <c r="I34" s="351">
        <v>0</v>
      </c>
    </row>
    <row r="35" spans="1:9" x14ac:dyDescent="0.2">
      <c r="A35" s="71"/>
      <c r="B35" s="752" t="s">
        <v>337</v>
      </c>
      <c r="C35" s="781"/>
      <c r="D35" s="781"/>
      <c r="E35" s="781"/>
      <c r="F35" s="72">
        <f>SUM(F29:F34)</f>
        <v>1</v>
      </c>
      <c r="G35" s="317">
        <f>SUM(G29:G34)</f>
        <v>1156.0899999999999</v>
      </c>
      <c r="H35" s="352">
        <f>SUM(H29:H34)</f>
        <v>1</v>
      </c>
      <c r="I35" s="353">
        <f>SUM(I29:I34)</f>
        <v>1198.8699999999999</v>
      </c>
    </row>
    <row r="36" spans="1:9" x14ac:dyDescent="0.2">
      <c r="A36" s="824" t="s">
        <v>1043</v>
      </c>
      <c r="B36" s="825"/>
      <c r="C36" s="825"/>
      <c r="D36" s="825"/>
      <c r="E36" s="825"/>
      <c r="F36" s="825"/>
      <c r="G36" s="825"/>
      <c r="H36" s="354"/>
      <c r="I36" s="355"/>
    </row>
    <row r="37" spans="1:9" x14ac:dyDescent="0.2">
      <c r="A37" s="775"/>
      <c r="B37" s="776"/>
      <c r="C37" s="776"/>
      <c r="D37" s="776"/>
      <c r="E37" s="776"/>
      <c r="F37" s="776"/>
      <c r="G37" s="776"/>
      <c r="H37" s="356"/>
      <c r="I37" s="357"/>
    </row>
    <row r="38" spans="1:9" x14ac:dyDescent="0.2">
      <c r="A38" s="73"/>
      <c r="B38" s="752" t="s">
        <v>555</v>
      </c>
      <c r="C38" s="781"/>
      <c r="D38" s="781"/>
      <c r="E38" s="781"/>
      <c r="F38" s="752"/>
      <c r="G38" s="781"/>
      <c r="H38" s="1021"/>
      <c r="I38" s="1022"/>
    </row>
    <row r="39" spans="1:9" x14ac:dyDescent="0.2">
      <c r="A39" s="678" t="s">
        <v>556</v>
      </c>
      <c r="B39" s="793"/>
      <c r="C39" s="793"/>
      <c r="D39" s="793"/>
      <c r="E39" s="793"/>
      <c r="F39" s="793"/>
      <c r="G39" s="793"/>
      <c r="H39" s="1017"/>
      <c r="I39" s="1018"/>
    </row>
    <row r="40" spans="1:9" x14ac:dyDescent="0.2">
      <c r="A40" s="68" t="s">
        <v>557</v>
      </c>
      <c r="B40" s="791" t="s">
        <v>558</v>
      </c>
      <c r="C40" s="792"/>
      <c r="D40" s="792"/>
      <c r="E40" s="792"/>
      <c r="F40" s="792"/>
      <c r="G40" s="792"/>
      <c r="H40" s="1017"/>
      <c r="I40" s="1018"/>
    </row>
    <row r="41" spans="1:9" x14ac:dyDescent="0.2">
      <c r="A41" s="68" t="s">
        <v>316</v>
      </c>
      <c r="B41" s="804" t="s">
        <v>559</v>
      </c>
      <c r="C41" s="679"/>
      <c r="D41" s="679"/>
      <c r="E41" s="680"/>
      <c r="F41" s="304">
        <v>8.3299999999999999E-2</v>
      </c>
      <c r="G41" s="319">
        <f>F41*G35</f>
        <v>96.302296999999996</v>
      </c>
      <c r="H41" s="359">
        <v>8.3299999999999999E-2</v>
      </c>
      <c r="I41" s="351">
        <f>H41*I35</f>
        <v>99.865870999999984</v>
      </c>
    </row>
    <row r="42" spans="1:9" x14ac:dyDescent="0.2">
      <c r="A42" s="68" t="s">
        <v>318</v>
      </c>
      <c r="B42" s="804" t="s">
        <v>607</v>
      </c>
      <c r="C42" s="679"/>
      <c r="D42" s="679"/>
      <c r="E42" s="680"/>
      <c r="F42" s="304">
        <f>8.33%+(8.33%*1/3)</f>
        <v>0.11106666666666666</v>
      </c>
      <c r="G42" s="319">
        <f>F42*G35</f>
        <v>128.40306266666664</v>
      </c>
      <c r="H42" s="359">
        <f>8.33%+(8.33%*1/3)</f>
        <v>0.11106666666666666</v>
      </c>
      <c r="I42" s="351">
        <f>H42*I35</f>
        <v>133.15449466666664</v>
      </c>
    </row>
    <row r="43" spans="1:9" x14ac:dyDescent="0.2">
      <c r="A43" s="73"/>
      <c r="B43" s="752" t="s">
        <v>352</v>
      </c>
      <c r="C43" s="781"/>
      <c r="D43" s="781"/>
      <c r="E43" s="788"/>
      <c r="F43" s="75">
        <f>SUM(F41:F42)</f>
        <v>0.19436666666666666</v>
      </c>
      <c r="G43" s="317">
        <f>SUM(G41:G42)</f>
        <v>224.70535966666665</v>
      </c>
      <c r="H43" s="360">
        <f>SUM(H41:H42)</f>
        <v>0.19436666666666666</v>
      </c>
      <c r="I43" s="353">
        <f>SUM(I41:I42)</f>
        <v>233.02036566666663</v>
      </c>
    </row>
    <row r="44" spans="1:9" ht="19.5" customHeight="1" x14ac:dyDescent="0.2">
      <c r="A44" s="789" t="s">
        <v>1084</v>
      </c>
      <c r="B44" s="790"/>
      <c r="C44" s="790"/>
      <c r="D44" s="790"/>
      <c r="E44" s="790"/>
      <c r="F44" s="790"/>
      <c r="G44" s="790"/>
      <c r="H44" s="1035"/>
      <c r="I44" s="1036"/>
    </row>
    <row r="45" spans="1:9" ht="15" customHeight="1" x14ac:dyDescent="0.2">
      <c r="A45" s="789" t="s">
        <v>1085</v>
      </c>
      <c r="B45" s="790"/>
      <c r="C45" s="790"/>
      <c r="D45" s="790"/>
      <c r="E45" s="790"/>
      <c r="F45" s="790"/>
      <c r="G45" s="790"/>
      <c r="H45" s="1035"/>
      <c r="I45" s="1036"/>
    </row>
    <row r="46" spans="1:9" ht="21" customHeight="1" x14ac:dyDescent="0.2">
      <c r="A46" s="821" t="s">
        <v>1086</v>
      </c>
      <c r="B46" s="821"/>
      <c r="C46" s="821"/>
      <c r="D46" s="821"/>
      <c r="E46" s="821"/>
      <c r="F46" s="821"/>
      <c r="G46" s="821"/>
      <c r="H46" s="1035"/>
      <c r="I46" s="1036"/>
    </row>
    <row r="47" spans="1:9" x14ac:dyDescent="0.2">
      <c r="A47" s="775"/>
      <c r="B47" s="776"/>
      <c r="C47" s="776"/>
      <c r="D47" s="776"/>
      <c r="E47" s="776"/>
      <c r="F47" s="776"/>
      <c r="G47" s="776"/>
      <c r="H47" s="1035"/>
      <c r="I47" s="1036"/>
    </row>
    <row r="48" spans="1:9" x14ac:dyDescent="0.2">
      <c r="A48" s="678" t="s">
        <v>560</v>
      </c>
      <c r="B48" s="793"/>
      <c r="C48" s="793"/>
      <c r="D48" s="793"/>
      <c r="E48" s="793"/>
      <c r="F48" s="793"/>
      <c r="G48" s="793"/>
      <c r="H48" s="1035"/>
      <c r="I48" s="1036"/>
    </row>
    <row r="49" spans="1:10" ht="25.5" x14ac:dyDescent="0.2">
      <c r="A49" s="68" t="s">
        <v>561</v>
      </c>
      <c r="B49" s="791" t="s">
        <v>562</v>
      </c>
      <c r="C49" s="776"/>
      <c r="D49" s="776"/>
      <c r="E49" s="893"/>
      <c r="F49" s="304" t="s">
        <v>563</v>
      </c>
      <c r="G49" s="336" t="s">
        <v>331</v>
      </c>
      <c r="H49" s="359" t="s">
        <v>563</v>
      </c>
      <c r="I49" s="348" t="s">
        <v>331</v>
      </c>
    </row>
    <row r="50" spans="1:10" x14ac:dyDescent="0.2">
      <c r="A50" s="68" t="s">
        <v>316</v>
      </c>
      <c r="B50" s="804" t="s">
        <v>342</v>
      </c>
      <c r="C50" s="679"/>
      <c r="D50" s="679"/>
      <c r="E50" s="680"/>
      <c r="F50" s="80"/>
      <c r="G50" s="321">
        <f>F50*(G35+G43+G117)</f>
        <v>0</v>
      </c>
      <c r="H50" s="359"/>
      <c r="I50" s="361">
        <f>H50*(I35+I43+I117)</f>
        <v>0</v>
      </c>
    </row>
    <row r="51" spans="1:10" x14ac:dyDescent="0.2">
      <c r="A51" s="68" t="s">
        <v>318</v>
      </c>
      <c r="B51" s="804" t="s">
        <v>564</v>
      </c>
      <c r="C51" s="679"/>
      <c r="D51" s="679"/>
      <c r="E51" s="680"/>
      <c r="F51" s="80">
        <v>2.5000000000000001E-2</v>
      </c>
      <c r="G51" s="321">
        <f>F51*(G35+G43+G117)</f>
        <v>35.437690997222226</v>
      </c>
      <c r="H51" s="359">
        <v>2.5000000000000001E-2</v>
      </c>
      <c r="I51" s="361">
        <f>H51*(I35+I43+I117)</f>
        <v>36.74902871388889</v>
      </c>
    </row>
    <row r="52" spans="1:10" x14ac:dyDescent="0.2">
      <c r="A52" s="68" t="s">
        <v>321</v>
      </c>
      <c r="B52" s="804" t="s">
        <v>565</v>
      </c>
      <c r="C52" s="679"/>
      <c r="D52" s="679"/>
      <c r="E52" s="680"/>
      <c r="F52" s="80">
        <v>2.7900000000000001E-2</v>
      </c>
      <c r="G52" s="321">
        <f>F52*(G35+G43+G117)</f>
        <v>39.548463152899998</v>
      </c>
      <c r="H52" s="196">
        <v>2.76E-2</v>
      </c>
      <c r="I52" s="506">
        <f>H52*(I35+I43+I117)</f>
        <v>40.570927700133332</v>
      </c>
      <c r="J52" s="504"/>
    </row>
    <row r="53" spans="1:10" x14ac:dyDescent="0.2">
      <c r="A53" s="68" t="s">
        <v>322</v>
      </c>
      <c r="B53" s="804" t="s">
        <v>566</v>
      </c>
      <c r="C53" s="679"/>
      <c r="D53" s="679"/>
      <c r="E53" s="680"/>
      <c r="F53" s="80">
        <v>1.4999999999999999E-2</v>
      </c>
      <c r="G53" s="321">
        <f>F53*(G35+G43+G117)</f>
        <v>21.262614598333332</v>
      </c>
      <c r="H53" s="359">
        <v>1.4999999999999999E-2</v>
      </c>
      <c r="I53" s="361">
        <f>H53*(I35+I43+I117)</f>
        <v>22.049417228333333</v>
      </c>
    </row>
    <row r="54" spans="1:10" x14ac:dyDescent="0.2">
      <c r="A54" s="68" t="s">
        <v>333</v>
      </c>
      <c r="B54" s="804" t="s">
        <v>343</v>
      </c>
      <c r="C54" s="679"/>
      <c r="D54" s="679"/>
      <c r="E54" s="680"/>
      <c r="F54" s="80">
        <v>0.01</v>
      </c>
      <c r="G54" s="321">
        <f>F54*(G35+G43+G117)</f>
        <v>14.175076398888889</v>
      </c>
      <c r="H54" s="359">
        <v>0.01</v>
      </c>
      <c r="I54" s="361">
        <f>H54*(I35+I43+I117)</f>
        <v>14.699611485555556</v>
      </c>
    </row>
    <row r="55" spans="1:10" x14ac:dyDescent="0.2">
      <c r="A55" s="68" t="s">
        <v>334</v>
      </c>
      <c r="B55" s="804" t="s">
        <v>346</v>
      </c>
      <c r="C55" s="679"/>
      <c r="D55" s="679"/>
      <c r="E55" s="680"/>
      <c r="F55" s="80">
        <v>6.0000000000000001E-3</v>
      </c>
      <c r="G55" s="321">
        <f>F55*(G35+G43+G117)</f>
        <v>8.5050458393333344</v>
      </c>
      <c r="H55" s="359">
        <v>6.0000000000000001E-3</v>
      </c>
      <c r="I55" s="361">
        <f>H55*(I35+I43+I117)</f>
        <v>8.8197668913333338</v>
      </c>
    </row>
    <row r="56" spans="1:10" x14ac:dyDescent="0.2">
      <c r="A56" s="68" t="s">
        <v>335</v>
      </c>
      <c r="B56" s="804" t="s">
        <v>344</v>
      </c>
      <c r="C56" s="679"/>
      <c r="D56" s="679"/>
      <c r="E56" s="680"/>
      <c r="F56" s="80">
        <v>2E-3</v>
      </c>
      <c r="G56" s="321">
        <f>F56*(G35+G43+G117)</f>
        <v>2.8350152797777777</v>
      </c>
      <c r="H56" s="359">
        <v>2E-3</v>
      </c>
      <c r="I56" s="361">
        <f>H56*(I35+I43+I117)</f>
        <v>2.9399222971111114</v>
      </c>
    </row>
    <row r="57" spans="1:10" x14ac:dyDescent="0.2">
      <c r="A57" s="68" t="s">
        <v>336</v>
      </c>
      <c r="B57" s="804" t="s">
        <v>345</v>
      </c>
      <c r="C57" s="679"/>
      <c r="D57" s="679"/>
      <c r="E57" s="680"/>
      <c r="F57" s="80">
        <v>0.08</v>
      </c>
      <c r="G57" s="321">
        <f>F57*(G35+G43+G117)</f>
        <v>113.40061119111111</v>
      </c>
      <c r="H57" s="359">
        <v>0.08</v>
      </c>
      <c r="I57" s="361">
        <f>H57*(I35+I43+I117)</f>
        <v>117.59689188444445</v>
      </c>
    </row>
    <row r="58" spans="1:10" x14ac:dyDescent="0.2">
      <c r="A58" s="73"/>
      <c r="B58" s="752" t="s">
        <v>352</v>
      </c>
      <c r="C58" s="781"/>
      <c r="D58" s="781"/>
      <c r="E58" s="788"/>
      <c r="F58" s="75">
        <f>SUM(F50:F57)</f>
        <v>0.16589999999999999</v>
      </c>
      <c r="G58" s="322">
        <f>SUM(G50:G57)</f>
        <v>235.16451745756666</v>
      </c>
      <c r="H58" s="360">
        <f>SUM(H50:H57)</f>
        <v>0.1656</v>
      </c>
      <c r="I58" s="362">
        <f>SUM(I50:I57)</f>
        <v>243.42556620080001</v>
      </c>
    </row>
    <row r="59" spans="1:10" x14ac:dyDescent="0.2">
      <c r="A59" s="972" t="s">
        <v>1055</v>
      </c>
      <c r="B59" s="973"/>
      <c r="C59" s="973"/>
      <c r="D59" s="973"/>
      <c r="E59" s="973"/>
      <c r="F59" s="973"/>
      <c r="G59" s="973"/>
      <c r="H59" s="1035"/>
      <c r="I59" s="1036"/>
    </row>
    <row r="60" spans="1:10" x14ac:dyDescent="0.2">
      <c r="A60" s="972" t="s">
        <v>1056</v>
      </c>
      <c r="B60" s="973"/>
      <c r="C60" s="973"/>
      <c r="D60" s="973"/>
      <c r="E60" s="973"/>
      <c r="F60" s="973"/>
      <c r="G60" s="973"/>
      <c r="H60" s="1035"/>
      <c r="I60" s="1036"/>
    </row>
    <row r="61" spans="1:10" x14ac:dyDescent="0.2">
      <c r="A61" s="976" t="s">
        <v>936</v>
      </c>
      <c r="B61" s="977"/>
      <c r="C61" s="977"/>
      <c r="D61" s="977"/>
      <c r="E61" s="977"/>
      <c r="F61" s="977"/>
      <c r="G61" s="977"/>
      <c r="H61" s="1035"/>
      <c r="I61" s="1036"/>
    </row>
    <row r="62" spans="1:10" x14ac:dyDescent="0.2">
      <c r="A62" s="78"/>
      <c r="B62" s="79"/>
      <c r="C62" s="77"/>
      <c r="D62" s="77"/>
      <c r="E62" s="77"/>
      <c r="F62" s="80"/>
      <c r="G62" s="337"/>
      <c r="H62" s="1035"/>
      <c r="I62" s="1036"/>
    </row>
    <row r="63" spans="1:10" x14ac:dyDescent="0.2">
      <c r="A63" s="678" t="s">
        <v>567</v>
      </c>
      <c r="B63" s="793"/>
      <c r="C63" s="793"/>
      <c r="D63" s="793"/>
      <c r="E63" s="793"/>
      <c r="F63" s="793"/>
      <c r="G63" s="793"/>
      <c r="H63" s="1035"/>
      <c r="I63" s="1036"/>
    </row>
    <row r="64" spans="1:10" ht="12.75" customHeight="1" x14ac:dyDescent="0.2">
      <c r="A64" s="68" t="s">
        <v>568</v>
      </c>
      <c r="B64" s="791" t="s">
        <v>569</v>
      </c>
      <c r="C64" s="792"/>
      <c r="D64" s="792"/>
      <c r="E64" s="792"/>
      <c r="F64" s="809"/>
      <c r="G64" s="340" t="s">
        <v>331</v>
      </c>
      <c r="H64" s="1017" t="s">
        <v>331</v>
      </c>
      <c r="I64" s="1018"/>
    </row>
    <row r="65" spans="1:9" ht="29.25" customHeight="1" x14ac:dyDescent="0.2">
      <c r="A65" s="68" t="s">
        <v>316</v>
      </c>
      <c r="B65" s="804" t="s">
        <v>1144</v>
      </c>
      <c r="C65" s="679"/>
      <c r="D65" s="679"/>
      <c r="E65" s="679"/>
      <c r="F65" s="680"/>
      <c r="G65" s="319">
        <f>((5+2.5)*2*21.5)-6%*G35</f>
        <v>253.13460000000001</v>
      </c>
      <c r="H65" s="388"/>
      <c r="I65" s="404">
        <f>((5+2.5)*2*21.5)-6%*I35</f>
        <v>250.56780000000001</v>
      </c>
    </row>
    <row r="66" spans="1:9" ht="24.75" customHeight="1" x14ac:dyDescent="0.2">
      <c r="A66" s="68" t="s">
        <v>318</v>
      </c>
      <c r="B66" s="804" t="s">
        <v>1145</v>
      </c>
      <c r="C66" s="679"/>
      <c r="D66" s="679"/>
      <c r="E66" s="679"/>
      <c r="F66" s="680"/>
      <c r="G66" s="319">
        <f>31.5*21.5</f>
        <v>677.25</v>
      </c>
      <c r="H66" s="388"/>
      <c r="I66" s="404">
        <f>32.7*21.5</f>
        <v>703.05000000000007</v>
      </c>
    </row>
    <row r="67" spans="1:9" ht="12.75" customHeight="1" x14ac:dyDescent="0.2">
      <c r="A67" s="68" t="s">
        <v>321</v>
      </c>
      <c r="B67" s="804" t="s">
        <v>963</v>
      </c>
      <c r="C67" s="679"/>
      <c r="D67" s="679"/>
      <c r="E67" s="679"/>
      <c r="F67" s="680"/>
      <c r="G67" s="319">
        <v>0</v>
      </c>
      <c r="H67" s="388"/>
      <c r="I67" s="404">
        <v>0</v>
      </c>
    </row>
    <row r="68" spans="1:9" ht="12.75" customHeight="1" x14ac:dyDescent="0.2">
      <c r="A68" s="68" t="s">
        <v>322</v>
      </c>
      <c r="B68" s="678" t="s">
        <v>930</v>
      </c>
      <c r="C68" s="793"/>
      <c r="D68" s="793"/>
      <c r="E68" s="793"/>
      <c r="F68" s="818"/>
      <c r="G68" s="319">
        <v>0</v>
      </c>
      <c r="H68" s="388"/>
      <c r="I68" s="404">
        <v>0</v>
      </c>
    </row>
    <row r="69" spans="1:9" ht="12.75" customHeight="1" x14ac:dyDescent="0.2">
      <c r="A69" s="68" t="s">
        <v>333</v>
      </c>
      <c r="B69" s="678" t="s">
        <v>933</v>
      </c>
      <c r="C69" s="793"/>
      <c r="D69" s="793"/>
      <c r="E69" s="793"/>
      <c r="F69" s="818"/>
      <c r="G69" s="319"/>
      <c r="H69" s="388"/>
      <c r="I69" s="404"/>
    </row>
    <row r="70" spans="1:9" ht="12.75" customHeight="1" x14ac:dyDescent="0.2">
      <c r="A70" s="68" t="s">
        <v>334</v>
      </c>
      <c r="B70" s="678" t="s">
        <v>932</v>
      </c>
      <c r="C70" s="793"/>
      <c r="D70" s="793"/>
      <c r="E70" s="793"/>
      <c r="F70" s="818"/>
      <c r="G70" s="319">
        <v>0</v>
      </c>
      <c r="H70" s="388"/>
      <c r="I70" s="404">
        <v>10.65</v>
      </c>
    </row>
    <row r="71" spans="1:9" ht="12.75" customHeight="1" x14ac:dyDescent="0.2">
      <c r="A71" s="68" t="s">
        <v>335</v>
      </c>
      <c r="B71" s="678" t="s">
        <v>931</v>
      </c>
      <c r="C71" s="793"/>
      <c r="D71" s="793"/>
      <c r="E71" s="793"/>
      <c r="F71" s="818"/>
      <c r="G71" s="319">
        <v>0</v>
      </c>
      <c r="H71" s="388"/>
      <c r="I71" s="404">
        <v>0</v>
      </c>
    </row>
    <row r="72" spans="1:9" x14ac:dyDescent="0.2">
      <c r="A72" s="71"/>
      <c r="B72" s="752" t="s">
        <v>352</v>
      </c>
      <c r="C72" s="781"/>
      <c r="D72" s="781"/>
      <c r="E72" s="781"/>
      <c r="F72" s="788"/>
      <c r="G72" s="459">
        <f>SUM(G65:G71)</f>
        <v>930.38459999999998</v>
      </c>
      <c r="H72" s="458"/>
      <c r="I72" s="353">
        <f>SUM(I65:I71)</f>
        <v>964.26780000000008</v>
      </c>
    </row>
    <row r="73" spans="1:9" x14ac:dyDescent="0.2">
      <c r="A73" s="789" t="s">
        <v>1146</v>
      </c>
      <c r="B73" s="790"/>
      <c r="C73" s="790"/>
      <c r="D73" s="790"/>
      <c r="E73" s="790"/>
      <c r="F73" s="790"/>
      <c r="G73" s="790"/>
      <c r="H73" s="1035"/>
      <c r="I73" s="1036"/>
    </row>
    <row r="74" spans="1:9" ht="14.25" customHeight="1" x14ac:dyDescent="0.2">
      <c r="A74" s="789" t="s">
        <v>1115</v>
      </c>
      <c r="B74" s="790"/>
      <c r="C74" s="790"/>
      <c r="D74" s="790"/>
      <c r="E74" s="790"/>
      <c r="F74" s="790"/>
      <c r="G74" s="790"/>
      <c r="H74" s="1035"/>
      <c r="I74" s="1036"/>
    </row>
    <row r="75" spans="1:9" x14ac:dyDescent="0.2">
      <c r="A75" s="76"/>
      <c r="B75" s="77"/>
      <c r="C75" s="77"/>
      <c r="D75" s="77"/>
      <c r="E75" s="77"/>
      <c r="F75" s="305"/>
      <c r="G75" s="335"/>
      <c r="H75" s="1035"/>
      <c r="I75" s="1036"/>
    </row>
    <row r="76" spans="1:9" x14ac:dyDescent="0.2">
      <c r="A76" s="73"/>
      <c r="B76" s="752" t="s">
        <v>892</v>
      </c>
      <c r="C76" s="781"/>
      <c r="D76" s="781"/>
      <c r="E76" s="781"/>
      <c r="F76" s="781"/>
      <c r="G76" s="781"/>
      <c r="H76" s="1021"/>
      <c r="I76" s="1022"/>
    </row>
    <row r="77" spans="1:9" ht="12.75" customHeight="1" x14ac:dyDescent="0.2">
      <c r="A77" s="68">
        <v>2</v>
      </c>
      <c r="B77" s="678" t="s">
        <v>571</v>
      </c>
      <c r="C77" s="793"/>
      <c r="D77" s="793"/>
      <c r="E77" s="793"/>
      <c r="F77" s="818"/>
      <c r="G77" s="460"/>
      <c r="H77" s="1017"/>
      <c r="I77" s="1018"/>
    </row>
    <row r="78" spans="1:9" ht="12.75" customHeight="1" x14ac:dyDescent="0.2">
      <c r="A78" s="68" t="s">
        <v>557</v>
      </c>
      <c r="B78" s="804" t="s">
        <v>572</v>
      </c>
      <c r="C78" s="679"/>
      <c r="D78" s="679"/>
      <c r="E78" s="679"/>
      <c r="F78" s="680"/>
      <c r="G78" s="460">
        <f>G43</f>
        <v>224.70535966666665</v>
      </c>
      <c r="H78" s="463"/>
      <c r="I78" s="464">
        <f t="shared" ref="I78" si="2">I43</f>
        <v>233.02036566666663</v>
      </c>
    </row>
    <row r="79" spans="1:9" ht="12.75" customHeight="1" x14ac:dyDescent="0.2">
      <c r="A79" s="68" t="s">
        <v>561</v>
      </c>
      <c r="B79" s="804" t="s">
        <v>562</v>
      </c>
      <c r="C79" s="679"/>
      <c r="D79" s="679"/>
      <c r="E79" s="679"/>
      <c r="F79" s="680"/>
      <c r="G79" s="460">
        <f>G58</f>
        <v>235.16451745756666</v>
      </c>
      <c r="H79" s="463"/>
      <c r="I79" s="464">
        <f t="shared" ref="I79" si="3">I58</f>
        <v>243.42556620080001</v>
      </c>
    </row>
    <row r="80" spans="1:9" ht="12.75" customHeight="1" x14ac:dyDescent="0.2">
      <c r="A80" s="68" t="s">
        <v>568</v>
      </c>
      <c r="B80" s="804" t="s">
        <v>569</v>
      </c>
      <c r="C80" s="679"/>
      <c r="D80" s="679"/>
      <c r="E80" s="679"/>
      <c r="F80" s="679"/>
      <c r="G80" s="460">
        <f>G72</f>
        <v>930.38459999999998</v>
      </c>
      <c r="H80" s="463"/>
      <c r="I80" s="464">
        <f t="shared" ref="I80" si="4">I72</f>
        <v>964.26780000000008</v>
      </c>
    </row>
    <row r="81" spans="1:9" x14ac:dyDescent="0.2">
      <c r="A81" s="134"/>
      <c r="B81" s="1047" t="s">
        <v>352</v>
      </c>
      <c r="C81" s="1047"/>
      <c r="D81" s="1047"/>
      <c r="E81" s="1047"/>
      <c r="F81" s="1047"/>
      <c r="G81" s="461">
        <f>SUM(G78:G80)</f>
        <v>1390.2544771242333</v>
      </c>
      <c r="H81" s="465"/>
      <c r="I81" s="466">
        <f t="shared" ref="I81" si="5">SUM(I78:I80)</f>
        <v>1440.7137318674668</v>
      </c>
    </row>
    <row r="82" spans="1:9" x14ac:dyDescent="0.2">
      <c r="A82" s="838"/>
      <c r="B82" s="839"/>
      <c r="C82" s="839"/>
      <c r="D82" s="839"/>
      <c r="E82" s="839"/>
      <c r="F82" s="839"/>
      <c r="G82" s="839"/>
      <c r="H82" s="1045"/>
      <c r="I82" s="1046"/>
    </row>
    <row r="83" spans="1:9" x14ac:dyDescent="0.2">
      <c r="A83" s="132"/>
      <c r="B83" s="752" t="s">
        <v>885</v>
      </c>
      <c r="C83" s="781"/>
      <c r="D83" s="781"/>
      <c r="E83" s="788"/>
      <c r="F83" s="74"/>
      <c r="G83" s="320"/>
      <c r="H83" s="345"/>
      <c r="I83" s="358"/>
    </row>
    <row r="84" spans="1:9" ht="25.5" x14ac:dyDescent="0.2">
      <c r="A84" s="68">
        <v>3</v>
      </c>
      <c r="B84" s="791" t="s">
        <v>348</v>
      </c>
      <c r="C84" s="792"/>
      <c r="D84" s="792"/>
      <c r="E84" s="809"/>
      <c r="F84" s="304" t="s">
        <v>563</v>
      </c>
      <c r="G84" s="336" t="s">
        <v>331</v>
      </c>
      <c r="H84" s="359" t="s">
        <v>563</v>
      </c>
      <c r="I84" s="348" t="s">
        <v>331</v>
      </c>
    </row>
    <row r="85" spans="1:9" x14ac:dyDescent="0.2">
      <c r="A85" s="78" t="s">
        <v>316</v>
      </c>
      <c r="B85" s="804" t="s">
        <v>987</v>
      </c>
      <c r="C85" s="679"/>
      <c r="D85" s="679"/>
      <c r="E85" s="680"/>
      <c r="F85" s="256">
        <v>4.1700000000000001E-3</v>
      </c>
      <c r="G85" s="319">
        <f>F85*(G35+G43)</f>
        <v>5.7579166498100003</v>
      </c>
      <c r="H85" s="365">
        <v>4.1700000000000001E-3</v>
      </c>
      <c r="I85" s="351">
        <f>H85*(I35+I43)</f>
        <v>5.9709828248300001</v>
      </c>
    </row>
    <row r="86" spans="1:9" x14ac:dyDescent="0.2">
      <c r="A86" s="78" t="s">
        <v>318</v>
      </c>
      <c r="B86" s="804" t="s">
        <v>573</v>
      </c>
      <c r="C86" s="679"/>
      <c r="D86" s="679"/>
      <c r="E86" s="680"/>
      <c r="F86" s="256">
        <f>F57*F85</f>
        <v>3.3360000000000003E-4</v>
      </c>
      <c r="G86" s="319">
        <f>F86*(G35+G43)</f>
        <v>0.46063333198480005</v>
      </c>
      <c r="H86" s="365">
        <f>H57*H85</f>
        <v>3.3360000000000003E-4</v>
      </c>
      <c r="I86" s="351">
        <f>H86*(I35+I43)</f>
        <v>0.47767862598640004</v>
      </c>
    </row>
    <row r="87" spans="1:9" ht="33.75" customHeight="1" x14ac:dyDescent="0.2">
      <c r="A87" s="68" t="s">
        <v>321</v>
      </c>
      <c r="B87" s="804" t="s">
        <v>1094</v>
      </c>
      <c r="C87" s="679"/>
      <c r="D87" s="679"/>
      <c r="E87" s="680"/>
      <c r="F87" s="256">
        <f xml:space="preserve"> (40%+10%)*F85</f>
        <v>2.085E-3</v>
      </c>
      <c r="G87" s="319">
        <f>F87*(G35+G43)</f>
        <v>2.8789583249050001</v>
      </c>
      <c r="H87" s="365">
        <f xml:space="preserve"> (40%+10%)*H85</f>
        <v>2.085E-3</v>
      </c>
      <c r="I87" s="351">
        <f>H87*(I35+I43)</f>
        <v>2.985491412415</v>
      </c>
    </row>
    <row r="88" spans="1:9" ht="26.25" customHeight="1" x14ac:dyDescent="0.2">
      <c r="A88" s="68" t="s">
        <v>322</v>
      </c>
      <c r="B88" s="804" t="s">
        <v>1095</v>
      </c>
      <c r="C88" s="679"/>
      <c r="D88" s="679"/>
      <c r="E88" s="680"/>
      <c r="F88" s="256">
        <f>(7/30)/12</f>
        <v>1.9444444444444445E-2</v>
      </c>
      <c r="G88" s="319">
        <f>F88*(G35+G43)</f>
        <v>26.848798660185185</v>
      </c>
      <c r="H88" s="365">
        <f>(7/30)/12</f>
        <v>1.9444444444444445E-2</v>
      </c>
      <c r="I88" s="351">
        <f>H88*(I35+I43)</f>
        <v>27.842312665740742</v>
      </c>
    </row>
    <row r="89" spans="1:9" x14ac:dyDescent="0.2">
      <c r="A89" s="69" t="s">
        <v>333</v>
      </c>
      <c r="B89" s="805" t="s">
        <v>1096</v>
      </c>
      <c r="C89" s="806"/>
      <c r="D89" s="806"/>
      <c r="E89" s="807"/>
      <c r="F89" s="257">
        <f>F58*F88</f>
        <v>3.2258333333333332E-3</v>
      </c>
      <c r="G89" s="323">
        <f>F89*(G35+G43)</f>
        <v>4.454215697724722</v>
      </c>
      <c r="H89" s="366">
        <f>H58*H88</f>
        <v>3.2200000000000002E-3</v>
      </c>
      <c r="I89" s="367">
        <f>H89*(I35+I43)</f>
        <v>4.610686977446667</v>
      </c>
    </row>
    <row r="90" spans="1:9" ht="27" customHeight="1" x14ac:dyDescent="0.2">
      <c r="A90" s="68" t="s">
        <v>334</v>
      </c>
      <c r="B90" s="804" t="s">
        <v>979</v>
      </c>
      <c r="C90" s="679"/>
      <c r="D90" s="679"/>
      <c r="E90" s="680"/>
      <c r="F90" s="304">
        <f>50%*F88</f>
        <v>9.7222222222222224E-3</v>
      </c>
      <c r="G90" s="323">
        <f>F90*(G35+G43)</f>
        <v>13.424399330092593</v>
      </c>
      <c r="H90" s="359">
        <f>50%*H88</f>
        <v>9.7222222222222224E-3</v>
      </c>
      <c r="I90" s="367">
        <f>H90*(I35+I43)</f>
        <v>13.921156332870371</v>
      </c>
    </row>
    <row r="91" spans="1:9" x14ac:dyDescent="0.2">
      <c r="A91" s="73"/>
      <c r="B91" s="752" t="s">
        <v>352</v>
      </c>
      <c r="C91" s="781"/>
      <c r="D91" s="781"/>
      <c r="E91" s="788"/>
      <c r="F91" s="82">
        <f>SUM(F85:F90)</f>
        <v>3.8981100000000005E-2</v>
      </c>
      <c r="G91" s="317">
        <f>SUM(G85:G90)</f>
        <v>53.824921994702301</v>
      </c>
      <c r="H91" s="368">
        <f>SUM(H85:H90)</f>
        <v>3.8975266666666668E-2</v>
      </c>
      <c r="I91" s="353">
        <f>SUM(I85:I90)</f>
        <v>55.808308839289182</v>
      </c>
    </row>
    <row r="92" spans="1:9" x14ac:dyDescent="0.2">
      <c r="A92" s="83"/>
      <c r="B92" s="84"/>
      <c r="C92" s="84"/>
      <c r="D92" s="84"/>
      <c r="E92" s="84"/>
      <c r="F92" s="306"/>
      <c r="G92" s="339"/>
      <c r="H92" s="1017"/>
      <c r="I92" s="1018"/>
    </row>
    <row r="93" spans="1:9" x14ac:dyDescent="0.2">
      <c r="A93" s="73"/>
      <c r="B93" s="752" t="s">
        <v>886</v>
      </c>
      <c r="C93" s="781"/>
      <c r="D93" s="781"/>
      <c r="E93" s="781"/>
      <c r="F93" s="752"/>
      <c r="G93" s="781"/>
      <c r="H93" s="1021"/>
      <c r="I93" s="1022"/>
    </row>
    <row r="94" spans="1:9" ht="22.5" customHeight="1" x14ac:dyDescent="0.2">
      <c r="A94" s="980" t="s">
        <v>1059</v>
      </c>
      <c r="B94" s="973"/>
      <c r="C94" s="973"/>
      <c r="D94" s="973"/>
      <c r="E94" s="973"/>
      <c r="F94" s="973"/>
      <c r="G94" s="973"/>
      <c r="H94" s="1035"/>
      <c r="I94" s="1036"/>
    </row>
    <row r="95" spans="1:9" x14ac:dyDescent="0.2">
      <c r="A95" s="775"/>
      <c r="B95" s="776"/>
      <c r="C95" s="776"/>
      <c r="D95" s="776"/>
      <c r="E95" s="776"/>
      <c r="F95" s="776"/>
      <c r="G95" s="776"/>
      <c r="H95" s="1035"/>
      <c r="I95" s="1036"/>
    </row>
    <row r="96" spans="1:9" x14ac:dyDescent="0.2">
      <c r="A96" s="678" t="s">
        <v>905</v>
      </c>
      <c r="B96" s="793"/>
      <c r="C96" s="793"/>
      <c r="D96" s="793"/>
      <c r="E96" s="793"/>
      <c r="F96" s="793"/>
      <c r="G96" s="793"/>
      <c r="H96" s="1035"/>
      <c r="I96" s="1036"/>
    </row>
    <row r="97" spans="1:9" ht="25.5" x14ac:dyDescent="0.2">
      <c r="A97" s="78" t="s">
        <v>340</v>
      </c>
      <c r="B97" s="791" t="s">
        <v>906</v>
      </c>
      <c r="C97" s="792"/>
      <c r="D97" s="792"/>
      <c r="E97" s="792"/>
      <c r="F97" s="304" t="s">
        <v>563</v>
      </c>
      <c r="G97" s="336" t="s">
        <v>331</v>
      </c>
      <c r="H97" s="359" t="s">
        <v>563</v>
      </c>
      <c r="I97" s="348" t="s">
        <v>331</v>
      </c>
    </row>
    <row r="98" spans="1:9" x14ac:dyDescent="0.2">
      <c r="A98" s="68" t="s">
        <v>316</v>
      </c>
      <c r="B98" s="804" t="s">
        <v>904</v>
      </c>
      <c r="C98" s="679"/>
      <c r="D98" s="679"/>
      <c r="E98" s="679"/>
      <c r="F98" s="304">
        <f>(8.33%+(8.33%*1/3))/12</f>
        <v>9.2555555555555551E-3</v>
      </c>
      <c r="G98" s="319">
        <f>F98*G35</f>
        <v>10.700255222222221</v>
      </c>
      <c r="H98" s="359">
        <f>(8.33%+(8.33%*1/3))/12</f>
        <v>9.2555555555555551E-3</v>
      </c>
      <c r="I98" s="351">
        <f>H98*I35</f>
        <v>11.096207888888888</v>
      </c>
    </row>
    <row r="99" spans="1:9" x14ac:dyDescent="0.2">
      <c r="A99" s="68" t="s">
        <v>318</v>
      </c>
      <c r="B99" s="804" t="s">
        <v>980</v>
      </c>
      <c r="C99" s="679"/>
      <c r="D99" s="679"/>
      <c r="E99" s="679"/>
      <c r="F99" s="304">
        <f>(1/12)/30</f>
        <v>2.7777777777777775E-3</v>
      </c>
      <c r="G99" s="319">
        <f>F99*G35</f>
        <v>3.2113611111111107</v>
      </c>
      <c r="H99" s="359">
        <f>(1/12)/30</f>
        <v>2.7777777777777775E-3</v>
      </c>
      <c r="I99" s="351">
        <f>H99*I35</f>
        <v>3.3301944444444436</v>
      </c>
    </row>
    <row r="100" spans="1:9" x14ac:dyDescent="0.2">
      <c r="A100" s="68" t="s">
        <v>321</v>
      </c>
      <c r="B100" s="804" t="s">
        <v>981</v>
      </c>
      <c r="C100" s="679"/>
      <c r="D100" s="679"/>
      <c r="E100" s="679"/>
      <c r="F100" s="258">
        <f>1.5%/12</f>
        <v>1.25E-3</v>
      </c>
      <c r="G100" s="319">
        <f>F100*G35</f>
        <v>1.4451125</v>
      </c>
      <c r="H100" s="365">
        <f>1.5%/12</f>
        <v>1.25E-3</v>
      </c>
      <c r="I100" s="351">
        <f>H100*I35</f>
        <v>1.4985875</v>
      </c>
    </row>
    <row r="101" spans="1:9" ht="23.25" customHeight="1" x14ac:dyDescent="0.2">
      <c r="A101" s="68" t="s">
        <v>322</v>
      </c>
      <c r="B101" s="804" t="s">
        <v>986</v>
      </c>
      <c r="C101" s="679"/>
      <c r="D101" s="679"/>
      <c r="E101" s="679"/>
      <c r="F101" s="256">
        <f>8%/12/2</f>
        <v>3.3333333333333335E-3</v>
      </c>
      <c r="G101" s="319">
        <f>F101*G35</f>
        <v>3.8536333333333332</v>
      </c>
      <c r="H101" s="365">
        <f>8%/12/2</f>
        <v>3.3333333333333335E-3</v>
      </c>
      <c r="I101" s="351">
        <f>H101*I35</f>
        <v>3.9962333333333331</v>
      </c>
    </row>
    <row r="102" spans="1:9" ht="23.25" customHeight="1" x14ac:dyDescent="0.2">
      <c r="A102" s="68" t="s">
        <v>333</v>
      </c>
      <c r="B102" s="804" t="s">
        <v>983</v>
      </c>
      <c r="C102" s="679"/>
      <c r="D102" s="679"/>
      <c r="E102" s="679"/>
      <c r="F102" s="259">
        <f>1.5%/12</f>
        <v>1.25E-3</v>
      </c>
      <c r="G102" s="319">
        <f>F102*G35</f>
        <v>1.4451125</v>
      </c>
      <c r="H102" s="369">
        <f>1.5%/12</f>
        <v>1.25E-3</v>
      </c>
      <c r="I102" s="351">
        <f>H102*I35</f>
        <v>1.4985875</v>
      </c>
    </row>
    <row r="103" spans="1:9" x14ac:dyDescent="0.2">
      <c r="A103" s="68" t="s">
        <v>334</v>
      </c>
      <c r="B103" s="804" t="s">
        <v>907</v>
      </c>
      <c r="C103" s="679"/>
      <c r="D103" s="679"/>
      <c r="E103" s="679"/>
      <c r="F103" s="304">
        <f>(5/12)/30</f>
        <v>1.388888888888889E-2</v>
      </c>
      <c r="G103" s="319">
        <f>F103*G35</f>
        <v>16.056805555555556</v>
      </c>
      <c r="H103" s="359">
        <f>(5/12)/30</f>
        <v>1.388888888888889E-2</v>
      </c>
      <c r="I103" s="351">
        <f>H103*I35</f>
        <v>16.650972222222222</v>
      </c>
    </row>
    <row r="104" spans="1:9" x14ac:dyDescent="0.2">
      <c r="A104" s="73"/>
      <c r="B104" s="752" t="s">
        <v>352</v>
      </c>
      <c r="C104" s="781"/>
      <c r="D104" s="781"/>
      <c r="E104" s="788"/>
      <c r="F104" s="75">
        <f>SUM(F98:F103)</f>
        <v>3.1755555555555558E-2</v>
      </c>
      <c r="G104" s="317">
        <f>SUM(G98:G103)</f>
        <v>36.712280222222219</v>
      </c>
      <c r="H104" s="360">
        <f>SUM(H98:H103)</f>
        <v>3.1755555555555558E-2</v>
      </c>
      <c r="I104" s="353">
        <f>SUM(I98:I103)</f>
        <v>38.070782888888886</v>
      </c>
    </row>
    <row r="105" spans="1:9" ht="21" customHeight="1" x14ac:dyDescent="0.2">
      <c r="A105" s="789" t="s">
        <v>1109</v>
      </c>
      <c r="B105" s="790"/>
      <c r="C105" s="790"/>
      <c r="D105" s="790"/>
      <c r="E105" s="790"/>
      <c r="F105" s="790"/>
      <c r="G105" s="790"/>
      <c r="H105" s="1035"/>
      <c r="I105" s="1036"/>
    </row>
    <row r="106" spans="1:9" x14ac:dyDescent="0.2">
      <c r="A106" s="791"/>
      <c r="B106" s="792"/>
      <c r="C106" s="792"/>
      <c r="D106" s="792"/>
      <c r="E106" s="792"/>
      <c r="F106" s="792"/>
      <c r="G106" s="792"/>
      <c r="H106" s="1035"/>
      <c r="I106" s="1036"/>
    </row>
    <row r="107" spans="1:9" x14ac:dyDescent="0.2">
      <c r="A107" s="678" t="s">
        <v>911</v>
      </c>
      <c r="B107" s="793"/>
      <c r="C107" s="793"/>
      <c r="D107" s="793"/>
      <c r="E107" s="793"/>
      <c r="F107" s="793"/>
      <c r="G107" s="793"/>
      <c r="H107" s="1035"/>
      <c r="I107" s="1036"/>
    </row>
    <row r="108" spans="1:9" ht="25.5" x14ac:dyDescent="0.2">
      <c r="A108" s="68" t="s">
        <v>347</v>
      </c>
      <c r="B108" s="791" t="s">
        <v>912</v>
      </c>
      <c r="C108" s="792"/>
      <c r="D108" s="792"/>
      <c r="E108" s="809"/>
      <c r="F108" s="304" t="s">
        <v>563</v>
      </c>
      <c r="G108" s="336" t="s">
        <v>331</v>
      </c>
      <c r="H108" s="359" t="s">
        <v>563</v>
      </c>
      <c r="I108" s="348" t="s">
        <v>331</v>
      </c>
    </row>
    <row r="109" spans="1:9" x14ac:dyDescent="0.2">
      <c r="A109" s="68" t="s">
        <v>316</v>
      </c>
      <c r="B109" s="804" t="s">
        <v>913</v>
      </c>
      <c r="C109" s="679"/>
      <c r="D109" s="679"/>
      <c r="E109" s="680"/>
      <c r="F109" s="143"/>
      <c r="G109" s="319"/>
      <c r="H109" s="370"/>
      <c r="I109" s="351"/>
    </row>
    <row r="110" spans="1:9" x14ac:dyDescent="0.2">
      <c r="A110" s="73"/>
      <c r="B110" s="752" t="s">
        <v>352</v>
      </c>
      <c r="C110" s="781"/>
      <c r="D110" s="781"/>
      <c r="E110" s="788"/>
      <c r="F110" s="756"/>
      <c r="G110" s="840"/>
      <c r="H110" s="1041"/>
      <c r="I110" s="1042"/>
    </row>
    <row r="111" spans="1:9" ht="15" customHeight="1" x14ac:dyDescent="0.2">
      <c r="A111" s="972" t="s">
        <v>1061</v>
      </c>
      <c r="B111" s="973"/>
      <c r="C111" s="973"/>
      <c r="D111" s="973"/>
      <c r="E111" s="973"/>
      <c r="F111" s="973"/>
      <c r="G111" s="973"/>
      <c r="H111" s="1035"/>
      <c r="I111" s="1036"/>
    </row>
    <row r="112" spans="1:9" x14ac:dyDescent="0.2">
      <c r="A112" s="775"/>
      <c r="B112" s="776"/>
      <c r="C112" s="776"/>
      <c r="D112" s="776"/>
      <c r="E112" s="776"/>
      <c r="F112" s="776"/>
      <c r="G112" s="776"/>
      <c r="H112" s="1035"/>
      <c r="I112" s="1036"/>
    </row>
    <row r="113" spans="1:9" x14ac:dyDescent="0.2">
      <c r="A113" s="752" t="s">
        <v>887</v>
      </c>
      <c r="B113" s="781"/>
      <c r="C113" s="781"/>
      <c r="D113" s="781"/>
      <c r="E113" s="781"/>
      <c r="F113" s="781"/>
      <c r="G113" s="781"/>
      <c r="H113" s="1021"/>
      <c r="I113" s="1022"/>
    </row>
    <row r="114" spans="1:9" ht="25.5" x14ac:dyDescent="0.2">
      <c r="A114" s="68">
        <v>4</v>
      </c>
      <c r="B114" s="820" t="s">
        <v>574</v>
      </c>
      <c r="C114" s="820"/>
      <c r="D114" s="820"/>
      <c r="E114" s="820"/>
      <c r="F114" s="304" t="s">
        <v>563</v>
      </c>
      <c r="G114" s="336" t="s">
        <v>331</v>
      </c>
      <c r="H114" s="359" t="s">
        <v>563</v>
      </c>
      <c r="I114" s="348" t="s">
        <v>331</v>
      </c>
    </row>
    <row r="115" spans="1:9" x14ac:dyDescent="0.2">
      <c r="A115" s="68" t="s">
        <v>340</v>
      </c>
      <c r="B115" s="819" t="s">
        <v>908</v>
      </c>
      <c r="C115" s="819"/>
      <c r="D115" s="819"/>
      <c r="E115" s="819"/>
      <c r="F115" s="304">
        <f>F104</f>
        <v>3.1755555555555558E-2</v>
      </c>
      <c r="G115" s="321">
        <f>G104</f>
        <v>36.712280222222219</v>
      </c>
      <c r="H115" s="359">
        <f>H104</f>
        <v>3.1755555555555558E-2</v>
      </c>
      <c r="I115" s="361">
        <f>I104</f>
        <v>38.070782888888886</v>
      </c>
    </row>
    <row r="116" spans="1:9" x14ac:dyDescent="0.2">
      <c r="A116" s="68" t="s">
        <v>347</v>
      </c>
      <c r="B116" s="819" t="s">
        <v>912</v>
      </c>
      <c r="C116" s="819"/>
      <c r="D116" s="819"/>
      <c r="E116" s="819"/>
      <c r="F116" s="304"/>
      <c r="G116" s="325"/>
      <c r="H116" s="359"/>
      <c r="I116" s="371"/>
    </row>
    <row r="117" spans="1:9" x14ac:dyDescent="0.2">
      <c r="A117" s="132"/>
      <c r="B117" s="752" t="s">
        <v>352</v>
      </c>
      <c r="C117" s="781"/>
      <c r="D117" s="781"/>
      <c r="E117" s="788"/>
      <c r="F117" s="75"/>
      <c r="G117" s="317">
        <f>SUM(G115:G116)</f>
        <v>36.712280222222219</v>
      </c>
      <c r="H117" s="360"/>
      <c r="I117" s="353">
        <f>SUM(I115:I116)</f>
        <v>38.070782888888886</v>
      </c>
    </row>
    <row r="118" spans="1:9" x14ac:dyDescent="0.2">
      <c r="A118" s="78"/>
      <c r="B118" s="86"/>
      <c r="C118" s="86"/>
      <c r="D118" s="86"/>
      <c r="E118" s="86"/>
      <c r="F118" s="80"/>
      <c r="G118" s="326"/>
      <c r="H118" s="1043"/>
      <c r="I118" s="1044"/>
    </row>
    <row r="119" spans="1:9" x14ac:dyDescent="0.2">
      <c r="A119" s="752" t="s">
        <v>888</v>
      </c>
      <c r="B119" s="781"/>
      <c r="C119" s="781"/>
      <c r="D119" s="781"/>
      <c r="E119" s="781"/>
      <c r="F119" s="781"/>
      <c r="G119" s="781"/>
      <c r="H119" s="1021"/>
      <c r="I119" s="1022"/>
    </row>
    <row r="120" spans="1:9" ht="12.75" customHeight="1" x14ac:dyDescent="0.2">
      <c r="A120" s="68">
        <v>5</v>
      </c>
      <c r="B120" s="678" t="s">
        <v>338</v>
      </c>
      <c r="C120" s="793"/>
      <c r="D120" s="793"/>
      <c r="E120" s="793"/>
      <c r="F120" s="818"/>
      <c r="G120" s="467"/>
      <c r="H120" s="1039"/>
      <c r="I120" s="1040"/>
    </row>
    <row r="121" spans="1:9" x14ac:dyDescent="0.2">
      <c r="A121" s="68" t="s">
        <v>316</v>
      </c>
      <c r="B121" s="804" t="s">
        <v>339</v>
      </c>
      <c r="C121" s="679"/>
      <c r="D121" s="679"/>
      <c r="E121" s="679"/>
      <c r="F121" s="680"/>
      <c r="G121" s="468">
        <f>Uniformes!J23</f>
        <v>55.335000000000008</v>
      </c>
      <c r="H121" s="363"/>
      <c r="I121" s="474">
        <f>Uniformes!J23</f>
        <v>55.335000000000008</v>
      </c>
    </row>
    <row r="122" spans="1:9" ht="12.75" customHeight="1" x14ac:dyDescent="0.2">
      <c r="A122" s="68" t="s">
        <v>318</v>
      </c>
      <c r="B122" s="804" t="s">
        <v>583</v>
      </c>
      <c r="C122" s="679"/>
      <c r="D122" s="679"/>
      <c r="E122" s="679"/>
      <c r="F122" s="680"/>
      <c r="G122" s="340"/>
      <c r="H122" s="363"/>
      <c r="I122" s="348"/>
    </row>
    <row r="123" spans="1:9" ht="12.75" customHeight="1" x14ac:dyDescent="0.2">
      <c r="A123" s="78" t="s">
        <v>321</v>
      </c>
      <c r="B123" s="804" t="s">
        <v>584</v>
      </c>
      <c r="C123" s="679"/>
      <c r="D123" s="679"/>
      <c r="E123" s="679"/>
      <c r="F123" s="680"/>
      <c r="G123" s="327">
        <f>'Ferramentas - Equipts'!F110</f>
        <v>44.99</v>
      </c>
      <c r="H123" s="363"/>
      <c r="I123" s="350">
        <f>'Ferramentas - Equipts'!F110</f>
        <v>44.99</v>
      </c>
    </row>
    <row r="124" spans="1:9" ht="12.75" customHeight="1" x14ac:dyDescent="0.2">
      <c r="A124" s="78" t="s">
        <v>322</v>
      </c>
      <c r="B124" s="804" t="s">
        <v>575</v>
      </c>
      <c r="C124" s="679"/>
      <c r="D124" s="679"/>
      <c r="E124" s="679"/>
      <c r="F124" s="680"/>
      <c r="G124" s="344"/>
      <c r="H124" s="363"/>
      <c r="I124" s="364"/>
    </row>
    <row r="125" spans="1:9" x14ac:dyDescent="0.2">
      <c r="A125" s="73"/>
      <c r="B125" s="752" t="s">
        <v>352</v>
      </c>
      <c r="C125" s="781"/>
      <c r="D125" s="781"/>
      <c r="E125" s="781"/>
      <c r="F125" s="781"/>
      <c r="G125" s="469">
        <f>SUM(G121:G124)</f>
        <v>100.32500000000002</v>
      </c>
      <c r="H125" s="345"/>
      <c r="I125" s="470">
        <f>SUM(I121:I124)</f>
        <v>100.32500000000002</v>
      </c>
    </row>
    <row r="126" spans="1:9" x14ac:dyDescent="0.2">
      <c r="A126" s="845" t="s">
        <v>1039</v>
      </c>
      <c r="B126" s="846"/>
      <c r="C126" s="846"/>
      <c r="D126" s="846"/>
      <c r="E126" s="846"/>
      <c r="F126" s="846"/>
      <c r="G126" s="846"/>
      <c r="H126" s="1037"/>
      <c r="I126" s="1038"/>
    </row>
    <row r="127" spans="1:9" x14ac:dyDescent="0.2">
      <c r="A127" s="129"/>
      <c r="B127" s="84"/>
      <c r="C127" s="84"/>
      <c r="D127" s="84"/>
      <c r="E127" s="84"/>
      <c r="F127" s="80"/>
      <c r="G127" s="328"/>
      <c r="H127" s="1037"/>
      <c r="I127" s="1038"/>
    </row>
    <row r="128" spans="1:9" x14ac:dyDescent="0.2">
      <c r="A128" s="752" t="s">
        <v>891</v>
      </c>
      <c r="B128" s="781"/>
      <c r="C128" s="781"/>
      <c r="D128" s="781"/>
      <c r="E128" s="781"/>
      <c r="F128" s="781"/>
      <c r="G128" s="781"/>
      <c r="H128" s="1021"/>
      <c r="I128" s="1022"/>
    </row>
    <row r="129" spans="1:9" x14ac:dyDescent="0.2">
      <c r="A129" s="68">
        <v>6</v>
      </c>
      <c r="B129" s="820" t="s">
        <v>349</v>
      </c>
      <c r="C129" s="820"/>
      <c r="D129" s="820"/>
      <c r="E129" s="342" t="s">
        <v>563</v>
      </c>
      <c r="F129" s="847" t="s">
        <v>331</v>
      </c>
      <c r="G129" s="1048"/>
      <c r="H129" s="1049" t="s">
        <v>331</v>
      </c>
      <c r="I129" s="1050"/>
    </row>
    <row r="130" spans="1:9" x14ac:dyDescent="0.2">
      <c r="A130" s="68" t="s">
        <v>316</v>
      </c>
      <c r="B130" s="819" t="s">
        <v>350</v>
      </c>
      <c r="C130" s="819"/>
      <c r="D130" s="819"/>
      <c r="E130" s="471">
        <f>ADM</f>
        <v>2.3199999999999998E-2</v>
      </c>
      <c r="F130" s="473"/>
      <c r="G130" s="327">
        <f>(G35+G81+G91+G117+G125)*E130</f>
        <v>63.503194960714843</v>
      </c>
      <c r="H130" s="475"/>
      <c r="I130" s="327">
        <f>(I35+I81+I91+I117+I125)*E130</f>
        <v>65.743877507418944</v>
      </c>
    </row>
    <row r="131" spans="1:9" x14ac:dyDescent="0.2">
      <c r="A131" s="68" t="s">
        <v>318</v>
      </c>
      <c r="B131" s="819" t="s">
        <v>576</v>
      </c>
      <c r="C131" s="819"/>
      <c r="D131" s="819"/>
      <c r="E131" s="471">
        <f>LUCRO_ENGEMIL</f>
        <v>2.3300000000000001E-2</v>
      </c>
      <c r="F131" s="473"/>
      <c r="G131" s="327">
        <f>(G35+G81+G91+G117+G125+G130)*E131</f>
        <v>65.25654007123363</v>
      </c>
      <c r="H131" s="475"/>
      <c r="I131" s="327">
        <f>(I35+I81+I91+I117+I125+I130)*E131</f>
        <v>67.559088635701386</v>
      </c>
    </row>
    <row r="132" spans="1:9" x14ac:dyDescent="0.2">
      <c r="A132" s="68" t="s">
        <v>321</v>
      </c>
      <c r="B132" s="819" t="s">
        <v>351</v>
      </c>
      <c r="C132" s="819"/>
      <c r="D132" s="819"/>
      <c r="E132" s="471">
        <f>SUM(E133:E134)</f>
        <v>0.10150000000000001</v>
      </c>
      <c r="F132" s="473"/>
      <c r="G132" s="325"/>
      <c r="H132" s="475"/>
      <c r="I132" s="325"/>
    </row>
    <row r="133" spans="1:9" ht="24.75" customHeight="1" x14ac:dyDescent="0.2">
      <c r="A133" s="85"/>
      <c r="B133" s="819" t="s">
        <v>971</v>
      </c>
      <c r="C133" s="819"/>
      <c r="D133" s="819"/>
      <c r="E133" s="478">
        <v>8.1500000000000003E-2</v>
      </c>
      <c r="F133" s="473"/>
      <c r="G133" s="333">
        <f>E133*G147</f>
        <v>259.96245160980317</v>
      </c>
      <c r="H133" s="475"/>
      <c r="I133" s="333">
        <f>E133*I147</f>
        <v>269.13511337085072</v>
      </c>
    </row>
    <row r="134" spans="1:9" ht="12.75" customHeight="1" x14ac:dyDescent="0.2">
      <c r="A134" s="85"/>
      <c r="B134" s="819" t="s">
        <v>972</v>
      </c>
      <c r="C134" s="819"/>
      <c r="D134" s="819"/>
      <c r="E134" s="471">
        <v>0.02</v>
      </c>
      <c r="F134" s="473"/>
      <c r="G134" s="333">
        <f>E134*G147</f>
        <v>63.79446665271243</v>
      </c>
      <c r="H134" s="475"/>
      <c r="I134" s="333">
        <f>E134*I147</f>
        <v>66.045426594073803</v>
      </c>
    </row>
    <row r="135" spans="1:9" x14ac:dyDescent="0.2">
      <c r="A135" s="73"/>
      <c r="B135" s="752" t="s">
        <v>352</v>
      </c>
      <c r="C135" s="781"/>
      <c r="D135" s="788"/>
      <c r="E135" s="472">
        <f>E130+E131+E132</f>
        <v>0.14800000000000002</v>
      </c>
      <c r="F135" s="473"/>
      <c r="G135" s="330">
        <f>SUM(G130:G134)</f>
        <v>452.51665329446405</v>
      </c>
      <c r="H135" s="360"/>
      <c r="I135" s="330">
        <f>SUM(I130:I134)</f>
        <v>468.48350610804482</v>
      </c>
    </row>
    <row r="136" spans="1:9" x14ac:dyDescent="0.2">
      <c r="A136" s="789" t="s">
        <v>1142</v>
      </c>
      <c r="B136" s="790"/>
      <c r="C136" s="790"/>
      <c r="D136" s="790"/>
      <c r="E136" s="790"/>
      <c r="F136" s="790"/>
      <c r="G136" s="790"/>
      <c r="H136" s="1037"/>
      <c r="I136" s="1038"/>
    </row>
    <row r="137" spans="1:9" x14ac:dyDescent="0.2">
      <c r="A137" s="789" t="s">
        <v>1143</v>
      </c>
      <c r="B137" s="790"/>
      <c r="C137" s="790"/>
      <c r="D137" s="790"/>
      <c r="E137" s="790"/>
      <c r="F137" s="790"/>
      <c r="G137" s="790"/>
      <c r="H137" s="1037"/>
      <c r="I137" s="1038"/>
    </row>
    <row r="138" spans="1:9" x14ac:dyDescent="0.2">
      <c r="A138" s="781" t="s">
        <v>577</v>
      </c>
      <c r="B138" s="781"/>
      <c r="C138" s="781"/>
      <c r="D138" s="781"/>
      <c r="E138" s="781"/>
      <c r="F138" s="781"/>
      <c r="G138" s="781"/>
      <c r="H138" s="1021"/>
      <c r="I138" s="1022"/>
    </row>
    <row r="139" spans="1:9" ht="12.75" customHeight="1" x14ac:dyDescent="0.2">
      <c r="A139" s="87"/>
      <c r="B139" s="791" t="s">
        <v>353</v>
      </c>
      <c r="C139" s="792"/>
      <c r="D139" s="792"/>
      <c r="E139" s="792"/>
      <c r="F139" s="792"/>
      <c r="G139" s="341" t="s">
        <v>354</v>
      </c>
      <c r="H139" s="809"/>
      <c r="I139" s="1018"/>
    </row>
    <row r="140" spans="1:9" ht="12.75" customHeight="1" x14ac:dyDescent="0.2">
      <c r="A140" s="68" t="s">
        <v>316</v>
      </c>
      <c r="B140" s="1051" t="s">
        <v>967</v>
      </c>
      <c r="C140" s="1052"/>
      <c r="D140" s="1052"/>
      <c r="E140" s="1052"/>
      <c r="F140" s="1052"/>
      <c r="G140" s="462">
        <f>G35</f>
        <v>1156.0899999999999</v>
      </c>
      <c r="H140" s="372"/>
      <c r="I140" s="462">
        <f>I35</f>
        <v>1198.8699999999999</v>
      </c>
    </row>
    <row r="141" spans="1:9" ht="12.75" customHeight="1" x14ac:dyDescent="0.2">
      <c r="A141" s="68" t="s">
        <v>318</v>
      </c>
      <c r="B141" s="844" t="s">
        <v>968</v>
      </c>
      <c r="C141" s="842"/>
      <c r="D141" s="842"/>
      <c r="E141" s="842"/>
      <c r="F141" s="842"/>
      <c r="G141" s="462">
        <f>G81</f>
        <v>1390.2544771242333</v>
      </c>
      <c r="H141" s="372"/>
      <c r="I141" s="462">
        <f>I81</f>
        <v>1440.7137318674668</v>
      </c>
    </row>
    <row r="142" spans="1:9" ht="12.75" customHeight="1" x14ac:dyDescent="0.2">
      <c r="A142" s="68" t="s">
        <v>321</v>
      </c>
      <c r="B142" s="844" t="s">
        <v>949</v>
      </c>
      <c r="C142" s="842"/>
      <c r="D142" s="842"/>
      <c r="E142" s="842"/>
      <c r="F142" s="842"/>
      <c r="G142" s="462">
        <f>G91</f>
        <v>53.824921994702301</v>
      </c>
      <c r="H142" s="372"/>
      <c r="I142" s="462">
        <f>I91</f>
        <v>55.808308839289182</v>
      </c>
    </row>
    <row r="143" spans="1:9" ht="12.75" customHeight="1" x14ac:dyDescent="0.2">
      <c r="A143" s="68" t="s">
        <v>322</v>
      </c>
      <c r="B143" s="844" t="s">
        <v>964</v>
      </c>
      <c r="C143" s="842"/>
      <c r="D143" s="842"/>
      <c r="E143" s="842"/>
      <c r="F143" s="842"/>
      <c r="G143" s="462">
        <f>G117</f>
        <v>36.712280222222219</v>
      </c>
      <c r="H143" s="372"/>
      <c r="I143" s="462">
        <f>I117</f>
        <v>38.070782888888886</v>
      </c>
    </row>
    <row r="144" spans="1:9" ht="12.75" customHeight="1" x14ac:dyDescent="0.2">
      <c r="A144" s="68" t="s">
        <v>333</v>
      </c>
      <c r="B144" s="844" t="s">
        <v>969</v>
      </c>
      <c r="C144" s="842"/>
      <c r="D144" s="842"/>
      <c r="E144" s="842"/>
      <c r="F144" s="842"/>
      <c r="G144" s="462">
        <f>G125</f>
        <v>100.32500000000002</v>
      </c>
      <c r="H144" s="372"/>
      <c r="I144" s="462">
        <f>I125</f>
        <v>100.32500000000002</v>
      </c>
    </row>
    <row r="145" spans="1:9" ht="12.75" customHeight="1" x14ac:dyDescent="0.2">
      <c r="A145" s="137"/>
      <c r="B145" s="1008" t="s">
        <v>578</v>
      </c>
      <c r="C145" s="822"/>
      <c r="D145" s="822"/>
      <c r="E145" s="822"/>
      <c r="F145" s="822"/>
      <c r="G145" s="462">
        <f>SUM(G140:G144)</f>
        <v>2737.2066793411573</v>
      </c>
      <c r="H145" s="373"/>
      <c r="I145" s="462">
        <f>SUM(I140:I144)</f>
        <v>2833.7878235956446</v>
      </c>
    </row>
    <row r="146" spans="1:9" ht="12.75" customHeight="1" x14ac:dyDescent="0.2">
      <c r="A146" s="136" t="s">
        <v>334</v>
      </c>
      <c r="B146" s="844" t="s">
        <v>965</v>
      </c>
      <c r="C146" s="842"/>
      <c r="D146" s="842"/>
      <c r="E146" s="842"/>
      <c r="F146" s="842"/>
      <c r="G146" s="462">
        <f>G135</f>
        <v>452.51665329446405</v>
      </c>
      <c r="H146" s="372"/>
      <c r="I146" s="462">
        <f>I135</f>
        <v>468.48350610804482</v>
      </c>
    </row>
    <row r="147" spans="1:9" ht="13.5" customHeight="1" thickBot="1" x14ac:dyDescent="0.25">
      <c r="A147" s="89"/>
      <c r="B147" s="766" t="s">
        <v>355</v>
      </c>
      <c r="C147" s="767"/>
      <c r="D147" s="767"/>
      <c r="E147" s="767"/>
      <c r="F147" s="767"/>
      <c r="G147" s="477">
        <f>(G130+G131+G145)/(1-E132)</f>
        <v>3189.7233326356213</v>
      </c>
      <c r="H147" s="476"/>
      <c r="I147" s="477">
        <f>(I130+I131+I145)/(1-E132)</f>
        <v>3302.2713297036898</v>
      </c>
    </row>
  </sheetData>
  <mergeCells count="218">
    <mergeCell ref="B147:F147"/>
    <mergeCell ref="H129:I129"/>
    <mergeCell ref="B140:F140"/>
    <mergeCell ref="B141:F141"/>
    <mergeCell ref="B142:F142"/>
    <mergeCell ref="H137:I137"/>
    <mergeCell ref="H138:I138"/>
    <mergeCell ref="H139:I139"/>
    <mergeCell ref="A136:G136"/>
    <mergeCell ref="A137:G137"/>
    <mergeCell ref="B132:D132"/>
    <mergeCell ref="B133:D133"/>
    <mergeCell ref="B134:D134"/>
    <mergeCell ref="B135:D135"/>
    <mergeCell ref="A138:G138"/>
    <mergeCell ref="B116:E116"/>
    <mergeCell ref="B117:E117"/>
    <mergeCell ref="B93:E93"/>
    <mergeCell ref="A105:G105"/>
    <mergeCell ref="A106:G106"/>
    <mergeCell ref="B143:F143"/>
    <mergeCell ref="B144:F144"/>
    <mergeCell ref="B146:F146"/>
    <mergeCell ref="B145:F145"/>
    <mergeCell ref="B139:F139"/>
    <mergeCell ref="A119:G119"/>
    <mergeCell ref="A128:G128"/>
    <mergeCell ref="B129:D129"/>
    <mergeCell ref="B130:D130"/>
    <mergeCell ref="B131:D131"/>
    <mergeCell ref="A126:G126"/>
    <mergeCell ref="B123:F123"/>
    <mergeCell ref="B124:F124"/>
    <mergeCell ref="B125:F125"/>
    <mergeCell ref="F129:G129"/>
    <mergeCell ref="H92:I92"/>
    <mergeCell ref="H93:I93"/>
    <mergeCell ref="F93:G93"/>
    <mergeCell ref="B77:F77"/>
    <mergeCell ref="B78:F78"/>
    <mergeCell ref="B79:F79"/>
    <mergeCell ref="B80:F80"/>
    <mergeCell ref="B81:F81"/>
    <mergeCell ref="B115:E115"/>
    <mergeCell ref="A112:G112"/>
    <mergeCell ref="A113:G113"/>
    <mergeCell ref="B114:E114"/>
    <mergeCell ref="B98:E98"/>
    <mergeCell ref="B99:E99"/>
    <mergeCell ref="B100:E100"/>
    <mergeCell ref="B101:E101"/>
    <mergeCell ref="B102:E102"/>
    <mergeCell ref="F110:G110"/>
    <mergeCell ref="A94:G94"/>
    <mergeCell ref="A95:G95"/>
    <mergeCell ref="A96:G96"/>
    <mergeCell ref="A82:G82"/>
    <mergeCell ref="B84:E84"/>
    <mergeCell ref="B85:E85"/>
    <mergeCell ref="H64:I64"/>
    <mergeCell ref="H73:I73"/>
    <mergeCell ref="H74:I74"/>
    <mergeCell ref="H75:I75"/>
    <mergeCell ref="H76:I76"/>
    <mergeCell ref="H126:I126"/>
    <mergeCell ref="H127:I127"/>
    <mergeCell ref="H128:I128"/>
    <mergeCell ref="H136:I136"/>
    <mergeCell ref="H120:I120"/>
    <mergeCell ref="H94:I94"/>
    <mergeCell ref="H95:I95"/>
    <mergeCell ref="H96:I96"/>
    <mergeCell ref="H105:I105"/>
    <mergeCell ref="H106:I106"/>
    <mergeCell ref="H107:I107"/>
    <mergeCell ref="H110:I110"/>
    <mergeCell ref="H111:I111"/>
    <mergeCell ref="H112:I112"/>
    <mergeCell ref="H113:I113"/>
    <mergeCell ref="H118:I118"/>
    <mergeCell ref="H119:I119"/>
    <mergeCell ref="H77:I77"/>
    <mergeCell ref="H82:I82"/>
    <mergeCell ref="H38:I38"/>
    <mergeCell ref="H39:I39"/>
    <mergeCell ref="B120:F120"/>
    <mergeCell ref="B121:F121"/>
    <mergeCell ref="B122:F122"/>
    <mergeCell ref="B108:E108"/>
    <mergeCell ref="B109:E109"/>
    <mergeCell ref="A111:G111"/>
    <mergeCell ref="B103:E103"/>
    <mergeCell ref="H40:I40"/>
    <mergeCell ref="H44:I44"/>
    <mergeCell ref="H45:I45"/>
    <mergeCell ref="H46:I46"/>
    <mergeCell ref="H47:I47"/>
    <mergeCell ref="H48:I48"/>
    <mergeCell ref="H59:I59"/>
    <mergeCell ref="H60:I60"/>
    <mergeCell ref="H61:I61"/>
    <mergeCell ref="H62:I62"/>
    <mergeCell ref="H63:I63"/>
    <mergeCell ref="A107:G107"/>
    <mergeCell ref="B104:E104"/>
    <mergeCell ref="B110:E110"/>
    <mergeCell ref="B97:E97"/>
    <mergeCell ref="B86:E86"/>
    <mergeCell ref="B91:E91"/>
    <mergeCell ref="B58:E58"/>
    <mergeCell ref="A59:G59"/>
    <mergeCell ref="A60:G60"/>
    <mergeCell ref="A61:G61"/>
    <mergeCell ref="A63:G63"/>
    <mergeCell ref="B76:G76"/>
    <mergeCell ref="A73:G73"/>
    <mergeCell ref="A74:G74"/>
    <mergeCell ref="B70:F70"/>
    <mergeCell ref="B71:F71"/>
    <mergeCell ref="B72:F72"/>
    <mergeCell ref="B64:F64"/>
    <mergeCell ref="B83:E83"/>
    <mergeCell ref="B87:E87"/>
    <mergeCell ref="B88:E88"/>
    <mergeCell ref="B89:E89"/>
    <mergeCell ref="B90:E90"/>
    <mergeCell ref="B67:F67"/>
    <mergeCell ref="B65:F65"/>
    <mergeCell ref="B66:F66"/>
    <mergeCell ref="B68:F68"/>
    <mergeCell ref="B69:F69"/>
    <mergeCell ref="B53:E53"/>
    <mergeCell ref="B54:E54"/>
    <mergeCell ref="B55:E55"/>
    <mergeCell ref="B56:E56"/>
    <mergeCell ref="B57:E57"/>
    <mergeCell ref="A45:G45"/>
    <mergeCell ref="A48:G48"/>
    <mergeCell ref="B49:E49"/>
    <mergeCell ref="B50:E50"/>
    <mergeCell ref="B51:E51"/>
    <mergeCell ref="B52:E52"/>
    <mergeCell ref="A47:G47"/>
    <mergeCell ref="A46:G46"/>
    <mergeCell ref="A39:G39"/>
    <mergeCell ref="B40:G40"/>
    <mergeCell ref="B41:E41"/>
    <mergeCell ref="B42:E42"/>
    <mergeCell ref="A44:G44"/>
    <mergeCell ref="B34:E34"/>
    <mergeCell ref="B35:E35"/>
    <mergeCell ref="A37:G37"/>
    <mergeCell ref="A36:G36"/>
    <mergeCell ref="B43:E43"/>
    <mergeCell ref="B38:E38"/>
    <mergeCell ref="F38:G38"/>
    <mergeCell ref="B28:E28"/>
    <mergeCell ref="B29:E29"/>
    <mergeCell ref="B30:E30"/>
    <mergeCell ref="B31:E31"/>
    <mergeCell ref="B32:E32"/>
    <mergeCell ref="B33:E33"/>
    <mergeCell ref="B25:E25"/>
    <mergeCell ref="B26:E26"/>
    <mergeCell ref="B27:E27"/>
    <mergeCell ref="F25:G25"/>
    <mergeCell ref="F26:G26"/>
    <mergeCell ref="A21:G21"/>
    <mergeCell ref="B22:E22"/>
    <mergeCell ref="B23:E23"/>
    <mergeCell ref="B24:E24"/>
    <mergeCell ref="A16:D16"/>
    <mergeCell ref="A19:G19"/>
    <mergeCell ref="A20:G20"/>
    <mergeCell ref="A17:E17"/>
    <mergeCell ref="A18:E18"/>
    <mergeCell ref="F16:G16"/>
    <mergeCell ref="F17:G18"/>
    <mergeCell ref="F22:G22"/>
    <mergeCell ref="F23:G23"/>
    <mergeCell ref="F24:G24"/>
    <mergeCell ref="A14:G14"/>
    <mergeCell ref="A15:D15"/>
    <mergeCell ref="B10:E10"/>
    <mergeCell ref="B11:E11"/>
    <mergeCell ref="A9:G9"/>
    <mergeCell ref="F10:G10"/>
    <mergeCell ref="F11:G11"/>
    <mergeCell ref="F12:G12"/>
    <mergeCell ref="F13:G13"/>
    <mergeCell ref="F15:G15"/>
    <mergeCell ref="A1:G1"/>
    <mergeCell ref="B12:E12"/>
    <mergeCell ref="B13:E13"/>
    <mergeCell ref="A7:G7"/>
    <mergeCell ref="A8:G8"/>
    <mergeCell ref="A6:G6"/>
    <mergeCell ref="A2:G3"/>
    <mergeCell ref="A4:G4"/>
    <mergeCell ref="A5:G5"/>
    <mergeCell ref="H2:I4"/>
    <mergeCell ref="H5:I9"/>
    <mergeCell ref="H24:I24"/>
    <mergeCell ref="H25:I25"/>
    <mergeCell ref="H26:I26"/>
    <mergeCell ref="H10:I10"/>
    <mergeCell ref="H11:I11"/>
    <mergeCell ref="H12:I12"/>
    <mergeCell ref="H13:I13"/>
    <mergeCell ref="H15:I15"/>
    <mergeCell ref="H16:I16"/>
    <mergeCell ref="H17:I18"/>
    <mergeCell ref="H22:I22"/>
    <mergeCell ref="H23:I23"/>
    <mergeCell ref="H20:I20"/>
    <mergeCell ref="H21:I21"/>
    <mergeCell ref="H19:I19"/>
    <mergeCell ref="H14:I14"/>
  </mergeCells>
  <printOptions horizontalCentered="1"/>
  <pageMargins left="0.53149606299212604" right="0.53149606299212604" top="1.1811023622047245" bottom="0.98425196850393704" header="0" footer="0"/>
  <pageSetup paperSize="9" scale="67"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J147"/>
  <sheetViews>
    <sheetView tabSelected="1" view="pageBreakPreview" topLeftCell="A131" zoomScale="120" zoomScaleNormal="150" zoomScaleSheetLayoutView="120" workbookViewId="0">
      <selection activeCell="K150" sqref="K150"/>
    </sheetView>
  </sheetViews>
  <sheetFormatPr defaultRowHeight="12.75" x14ac:dyDescent="0.2"/>
  <cols>
    <col min="1" max="1" width="6.7109375" style="144" customWidth="1"/>
    <col min="2" max="2" width="9.140625" style="91"/>
    <col min="3" max="3" width="11.85546875" style="91" customWidth="1"/>
    <col min="4" max="4" width="21.85546875" style="91" customWidth="1"/>
    <col min="5" max="5" width="30.140625" style="91" customWidth="1"/>
    <col min="6" max="6" width="10.7109375" style="298" customWidth="1"/>
    <col min="7" max="7" width="15.7109375" style="91" customWidth="1"/>
    <col min="8" max="8" width="10.7109375" style="431" customWidth="1"/>
    <col min="9" max="9" width="15.7109375" style="427" customWidth="1"/>
    <col min="10" max="16384" width="9.140625" style="91"/>
  </cols>
  <sheetData>
    <row r="1" spans="1:9" ht="12.75" customHeight="1" thickBot="1" x14ac:dyDescent="0.25">
      <c r="A1" s="826"/>
      <c r="B1" s="826"/>
      <c r="C1" s="826"/>
      <c r="D1" s="826"/>
      <c r="E1" s="826"/>
      <c r="F1" s="826"/>
      <c r="G1" s="826"/>
      <c r="H1" s="444"/>
      <c r="I1" s="444"/>
    </row>
    <row r="2" spans="1:9" ht="24" customHeight="1" x14ac:dyDescent="0.2">
      <c r="A2" s="827" t="s">
        <v>1017</v>
      </c>
      <c r="B2" s="828"/>
      <c r="C2" s="828"/>
      <c r="D2" s="828"/>
      <c r="E2" s="828"/>
      <c r="F2" s="828"/>
      <c r="G2" s="828"/>
      <c r="H2" s="739" t="s">
        <v>1004</v>
      </c>
      <c r="I2" s="741"/>
    </row>
    <row r="3" spans="1:9" ht="51.75" customHeight="1" thickBot="1" x14ac:dyDescent="0.25">
      <c r="A3" s="829"/>
      <c r="B3" s="830"/>
      <c r="C3" s="830"/>
      <c r="D3" s="830"/>
      <c r="E3" s="830"/>
      <c r="F3" s="830"/>
      <c r="G3" s="830"/>
      <c r="H3" s="742"/>
      <c r="I3" s="744"/>
    </row>
    <row r="4" spans="1:9" ht="58.5" customHeight="1" x14ac:dyDescent="0.2">
      <c r="A4" s="883" t="s">
        <v>579</v>
      </c>
      <c r="B4" s="883"/>
      <c r="C4" s="883"/>
      <c r="D4" s="883"/>
      <c r="E4" s="883"/>
      <c r="F4" s="883"/>
      <c r="G4" s="884"/>
      <c r="H4" s="748"/>
      <c r="I4" s="749"/>
    </row>
    <row r="5" spans="1:9" ht="12.75" customHeight="1" x14ac:dyDescent="0.2">
      <c r="A5" s="785" t="s">
        <v>927</v>
      </c>
      <c r="B5" s="786"/>
      <c r="C5" s="786"/>
      <c r="D5" s="786"/>
      <c r="E5" s="786"/>
      <c r="F5" s="786"/>
      <c r="G5" s="786"/>
      <c r="H5" s="796" t="s">
        <v>1141</v>
      </c>
      <c r="I5" s="797"/>
    </row>
    <row r="6" spans="1:9" x14ac:dyDescent="0.2">
      <c r="A6" s="785" t="s">
        <v>928</v>
      </c>
      <c r="B6" s="786"/>
      <c r="C6" s="786"/>
      <c r="D6" s="786"/>
      <c r="E6" s="786"/>
      <c r="F6" s="786"/>
      <c r="G6" s="786"/>
      <c r="H6" s="796"/>
      <c r="I6" s="797"/>
    </row>
    <row r="7" spans="1:9" ht="12.75" customHeight="1" x14ac:dyDescent="0.2">
      <c r="A7" s="785" t="s">
        <v>929</v>
      </c>
      <c r="B7" s="786"/>
      <c r="C7" s="786"/>
      <c r="D7" s="786"/>
      <c r="E7" s="786"/>
      <c r="F7" s="786"/>
      <c r="G7" s="786"/>
      <c r="H7" s="796"/>
      <c r="I7" s="797"/>
    </row>
    <row r="8" spans="1:9" ht="12.75" customHeight="1" x14ac:dyDescent="0.2">
      <c r="A8" s="1009" t="s">
        <v>1148</v>
      </c>
      <c r="B8" s="1010"/>
      <c r="C8" s="1010"/>
      <c r="D8" s="1010"/>
      <c r="E8" s="1010"/>
      <c r="F8" s="1010"/>
      <c r="G8" s="1010"/>
      <c r="H8" s="796"/>
      <c r="I8" s="797"/>
    </row>
    <row r="9" spans="1:9" x14ac:dyDescent="0.2">
      <c r="A9" s="785" t="s">
        <v>546</v>
      </c>
      <c r="B9" s="786"/>
      <c r="C9" s="786"/>
      <c r="D9" s="786"/>
      <c r="E9" s="786"/>
      <c r="F9" s="786"/>
      <c r="G9" s="786"/>
      <c r="H9" s="796"/>
      <c r="I9" s="797"/>
    </row>
    <row r="10" spans="1:9" x14ac:dyDescent="0.2">
      <c r="A10" s="68" t="s">
        <v>316</v>
      </c>
      <c r="B10" s="770" t="s">
        <v>317</v>
      </c>
      <c r="C10" s="771"/>
      <c r="D10" s="771"/>
      <c r="E10" s="772"/>
      <c r="F10" s="773">
        <v>43580</v>
      </c>
      <c r="G10" s="774"/>
      <c r="H10" s="640">
        <v>43669</v>
      </c>
      <c r="I10" s="641"/>
    </row>
    <row r="11" spans="1:9" x14ac:dyDescent="0.2">
      <c r="A11" s="68" t="s">
        <v>318</v>
      </c>
      <c r="B11" s="770" t="s">
        <v>319</v>
      </c>
      <c r="C11" s="771"/>
      <c r="D11" s="771"/>
      <c r="E11" s="772"/>
      <c r="F11" s="775" t="s">
        <v>320</v>
      </c>
      <c r="G11" s="776"/>
      <c r="H11" s="642" t="s">
        <v>320</v>
      </c>
      <c r="I11" s="643"/>
    </row>
    <row r="12" spans="1:9" ht="30" customHeight="1" x14ac:dyDescent="0.2">
      <c r="A12" s="68" t="s">
        <v>321</v>
      </c>
      <c r="B12" s="981" t="s">
        <v>605</v>
      </c>
      <c r="C12" s="982"/>
      <c r="D12" s="982"/>
      <c r="E12" s="983"/>
      <c r="F12" s="752" t="s">
        <v>878</v>
      </c>
      <c r="G12" s="781"/>
      <c r="H12" s="954" t="s">
        <v>1152</v>
      </c>
      <c r="I12" s="955"/>
    </row>
    <row r="13" spans="1:9" x14ac:dyDescent="0.2">
      <c r="A13" s="68" t="s">
        <v>322</v>
      </c>
      <c r="B13" s="770" t="s">
        <v>1140</v>
      </c>
      <c r="C13" s="771"/>
      <c r="D13" s="771"/>
      <c r="E13" s="772"/>
      <c r="F13" s="775">
        <v>24</v>
      </c>
      <c r="G13" s="776"/>
      <c r="H13" s="860">
        <v>24</v>
      </c>
      <c r="I13" s="861"/>
    </row>
    <row r="14" spans="1:9" x14ac:dyDescent="0.2">
      <c r="A14" s="752" t="s">
        <v>547</v>
      </c>
      <c r="B14" s="781"/>
      <c r="C14" s="781"/>
      <c r="D14" s="781"/>
      <c r="E14" s="781"/>
      <c r="F14" s="781"/>
      <c r="G14" s="781"/>
      <c r="H14" s="758"/>
      <c r="I14" s="759"/>
    </row>
    <row r="15" spans="1:9" ht="39" customHeight="1" x14ac:dyDescent="0.2">
      <c r="A15" s="787" t="s">
        <v>323</v>
      </c>
      <c r="B15" s="787"/>
      <c r="C15" s="787"/>
      <c r="D15" s="787"/>
      <c r="E15" s="314" t="s">
        <v>324</v>
      </c>
      <c r="F15" s="927" t="s">
        <v>900</v>
      </c>
      <c r="G15" s="928"/>
      <c r="H15" s="934" t="s">
        <v>900</v>
      </c>
      <c r="I15" s="935"/>
    </row>
    <row r="16" spans="1:9" ht="16.5" customHeight="1" x14ac:dyDescent="0.2">
      <c r="A16" s="777" t="s">
        <v>921</v>
      </c>
      <c r="B16" s="778"/>
      <c r="C16" s="778"/>
      <c r="D16" s="779"/>
      <c r="E16" s="141" t="s">
        <v>325</v>
      </c>
      <c r="F16" s="1053">
        <v>1</v>
      </c>
      <c r="G16" s="775"/>
      <c r="H16" s="860">
        <v>1</v>
      </c>
      <c r="I16" s="861"/>
    </row>
    <row r="17" spans="1:9" ht="22.5" customHeight="1" x14ac:dyDescent="0.2">
      <c r="A17" s="972" t="s">
        <v>1050</v>
      </c>
      <c r="B17" s="973"/>
      <c r="C17" s="973"/>
      <c r="D17" s="973"/>
      <c r="E17" s="973"/>
      <c r="F17" s="1053"/>
      <c r="G17" s="775"/>
      <c r="H17" s="956"/>
      <c r="I17" s="957"/>
    </row>
    <row r="18" spans="1:9" ht="22.5" customHeight="1" x14ac:dyDescent="0.2">
      <c r="A18" s="972" t="s">
        <v>1051</v>
      </c>
      <c r="B18" s="973"/>
      <c r="C18" s="973"/>
      <c r="D18" s="973"/>
      <c r="E18" s="973"/>
      <c r="F18" s="1053"/>
      <c r="G18" s="775"/>
      <c r="H18" s="956"/>
      <c r="I18" s="957"/>
    </row>
    <row r="19" spans="1:9" x14ac:dyDescent="0.2">
      <c r="A19" s="769" t="s">
        <v>548</v>
      </c>
      <c r="B19" s="769"/>
      <c r="C19" s="769"/>
      <c r="D19" s="769"/>
      <c r="E19" s="769"/>
      <c r="F19" s="769"/>
      <c r="G19" s="752"/>
      <c r="H19" s="754"/>
      <c r="I19" s="755"/>
    </row>
    <row r="20" spans="1:9" x14ac:dyDescent="0.2">
      <c r="A20" s="836" t="s">
        <v>326</v>
      </c>
      <c r="B20" s="836"/>
      <c r="C20" s="836"/>
      <c r="D20" s="836"/>
      <c r="E20" s="836"/>
      <c r="F20" s="836"/>
      <c r="G20" s="837"/>
      <c r="H20" s="990"/>
      <c r="I20" s="991"/>
    </row>
    <row r="21" spans="1:9" x14ac:dyDescent="0.2">
      <c r="A21" s="836" t="s">
        <v>327</v>
      </c>
      <c r="B21" s="836"/>
      <c r="C21" s="836"/>
      <c r="D21" s="836"/>
      <c r="E21" s="836"/>
      <c r="F21" s="836"/>
      <c r="G21" s="837"/>
      <c r="H21" s="990"/>
      <c r="I21" s="991"/>
    </row>
    <row r="22" spans="1:9" ht="21.75" customHeight="1" x14ac:dyDescent="0.2">
      <c r="A22" s="130">
        <v>1</v>
      </c>
      <c r="B22" s="810" t="s">
        <v>586</v>
      </c>
      <c r="C22" s="811"/>
      <c r="D22" s="811"/>
      <c r="E22" s="812"/>
      <c r="F22" s="785" t="s">
        <v>592</v>
      </c>
      <c r="G22" s="786"/>
      <c r="H22" s="866" t="s">
        <v>592</v>
      </c>
      <c r="I22" s="867"/>
    </row>
    <row r="23" spans="1:9" x14ac:dyDescent="0.2">
      <c r="A23" s="130">
        <v>2</v>
      </c>
      <c r="B23" s="951" t="s">
        <v>549</v>
      </c>
      <c r="C23" s="952"/>
      <c r="D23" s="952"/>
      <c r="E23" s="953"/>
      <c r="F23" s="785" t="s">
        <v>593</v>
      </c>
      <c r="G23" s="786"/>
      <c r="H23" s="866" t="s">
        <v>593</v>
      </c>
      <c r="I23" s="867"/>
    </row>
    <row r="24" spans="1:9" x14ac:dyDescent="0.2">
      <c r="A24" s="130">
        <v>3</v>
      </c>
      <c r="B24" s="810" t="s">
        <v>882</v>
      </c>
      <c r="C24" s="811"/>
      <c r="D24" s="811"/>
      <c r="E24" s="812"/>
      <c r="F24" s="986">
        <v>1194.8499999999999</v>
      </c>
      <c r="G24" s="987"/>
      <c r="H24" s="988">
        <v>1239.06</v>
      </c>
      <c r="I24" s="989"/>
    </row>
    <row r="25" spans="1:9" ht="13.5" customHeight="1" x14ac:dyDescent="0.2">
      <c r="A25" s="130">
        <v>4</v>
      </c>
      <c r="B25" s="810" t="s">
        <v>329</v>
      </c>
      <c r="C25" s="811"/>
      <c r="D25" s="811"/>
      <c r="E25" s="812"/>
      <c r="F25" s="785" t="str">
        <f>A16</f>
        <v xml:space="preserve"> Técnico(a) Administrativo</v>
      </c>
      <c r="G25" s="786"/>
      <c r="H25" s="866" t="str">
        <f>A16</f>
        <v xml:space="preserve"> Técnico(a) Administrativo</v>
      </c>
      <c r="I25" s="867"/>
    </row>
    <row r="26" spans="1:9" ht="12.75" customHeight="1" x14ac:dyDescent="0.2">
      <c r="A26" s="130">
        <v>5</v>
      </c>
      <c r="B26" s="810" t="s">
        <v>582</v>
      </c>
      <c r="C26" s="811"/>
      <c r="D26" s="811"/>
      <c r="E26" s="812"/>
      <c r="F26" s="835" t="s">
        <v>619</v>
      </c>
      <c r="G26" s="792"/>
      <c r="H26" s="856" t="s">
        <v>612</v>
      </c>
      <c r="I26" s="857"/>
    </row>
    <row r="27" spans="1:9" x14ac:dyDescent="0.2">
      <c r="A27" s="131"/>
      <c r="B27" s="891" t="s">
        <v>973</v>
      </c>
      <c r="C27" s="892"/>
      <c r="D27" s="892"/>
      <c r="E27" s="892"/>
      <c r="F27" s="785"/>
      <c r="G27" s="943"/>
      <c r="H27" s="910"/>
      <c r="I27" s="911"/>
    </row>
    <row r="28" spans="1:9" x14ac:dyDescent="0.2">
      <c r="A28" s="68">
        <v>1</v>
      </c>
      <c r="B28" s="791" t="s">
        <v>330</v>
      </c>
      <c r="C28" s="792"/>
      <c r="D28" s="792"/>
      <c r="E28" s="809"/>
      <c r="F28" s="284" t="s">
        <v>341</v>
      </c>
      <c r="G28" s="311" t="s">
        <v>331</v>
      </c>
      <c r="H28" s="432" t="s">
        <v>341</v>
      </c>
      <c r="I28" s="401" t="s">
        <v>331</v>
      </c>
    </row>
    <row r="29" spans="1:9" x14ac:dyDescent="0.2">
      <c r="A29" s="68" t="s">
        <v>316</v>
      </c>
      <c r="B29" s="804" t="s">
        <v>590</v>
      </c>
      <c r="C29" s="679"/>
      <c r="D29" s="679"/>
      <c r="E29" s="680"/>
      <c r="F29" s="286">
        <v>1</v>
      </c>
      <c r="G29" s="327">
        <f>F24</f>
        <v>1194.8499999999999</v>
      </c>
      <c r="H29" s="436">
        <v>1</v>
      </c>
      <c r="I29" s="414">
        <f>H24</f>
        <v>1239.06</v>
      </c>
    </row>
    <row r="30" spans="1:9" x14ac:dyDescent="0.2">
      <c r="A30" s="68" t="s">
        <v>318</v>
      </c>
      <c r="B30" s="1005" t="s">
        <v>1002</v>
      </c>
      <c r="C30" s="1006"/>
      <c r="D30" s="1006"/>
      <c r="E30" s="1007"/>
      <c r="F30" s="286">
        <v>0</v>
      </c>
      <c r="G30" s="319">
        <f>G29*F30</f>
        <v>0</v>
      </c>
      <c r="H30" s="436">
        <v>0</v>
      </c>
      <c r="I30" s="404">
        <f>I29*H30</f>
        <v>0</v>
      </c>
    </row>
    <row r="31" spans="1:9" x14ac:dyDescent="0.2">
      <c r="A31" s="68" t="s">
        <v>321</v>
      </c>
      <c r="B31" s="804" t="s">
        <v>551</v>
      </c>
      <c r="C31" s="679"/>
      <c r="D31" s="679"/>
      <c r="E31" s="680"/>
      <c r="F31" s="286">
        <v>0</v>
      </c>
      <c r="G31" s="319">
        <f>G30*F31</f>
        <v>0</v>
      </c>
      <c r="H31" s="436">
        <v>0</v>
      </c>
      <c r="I31" s="404">
        <f>I30*H31</f>
        <v>0</v>
      </c>
    </row>
    <row r="32" spans="1:9" x14ac:dyDescent="0.2">
      <c r="A32" s="68" t="s">
        <v>322</v>
      </c>
      <c r="B32" s="804" t="s">
        <v>552</v>
      </c>
      <c r="C32" s="679"/>
      <c r="D32" s="679"/>
      <c r="E32" s="680"/>
      <c r="F32" s="286">
        <v>0</v>
      </c>
      <c r="G32" s="319">
        <f t="shared" ref="G32:G33" si="0">G31*F32</f>
        <v>0</v>
      </c>
      <c r="H32" s="436">
        <v>0</v>
      </c>
      <c r="I32" s="404">
        <f t="shared" ref="I32:I33" si="1">I31*H32</f>
        <v>0</v>
      </c>
    </row>
    <row r="33" spans="1:9" x14ac:dyDescent="0.2">
      <c r="A33" s="68" t="s">
        <v>333</v>
      </c>
      <c r="B33" s="804" t="s">
        <v>553</v>
      </c>
      <c r="C33" s="679"/>
      <c r="D33" s="679"/>
      <c r="E33" s="680"/>
      <c r="F33" s="286">
        <v>0</v>
      </c>
      <c r="G33" s="319">
        <f t="shared" si="0"/>
        <v>0</v>
      </c>
      <c r="H33" s="436">
        <v>0</v>
      </c>
      <c r="I33" s="404">
        <f t="shared" si="1"/>
        <v>0</v>
      </c>
    </row>
    <row r="34" spans="1:9" x14ac:dyDescent="0.2">
      <c r="A34" s="68" t="s">
        <v>334</v>
      </c>
      <c r="B34" s="804" t="s">
        <v>881</v>
      </c>
      <c r="C34" s="679"/>
      <c r="D34" s="679"/>
      <c r="E34" s="680"/>
      <c r="F34" s="286">
        <v>0</v>
      </c>
      <c r="G34" s="319">
        <v>0</v>
      </c>
      <c r="H34" s="436">
        <v>0</v>
      </c>
      <c r="I34" s="404">
        <v>0</v>
      </c>
    </row>
    <row r="35" spans="1:9" x14ac:dyDescent="0.2">
      <c r="A35" s="69"/>
      <c r="B35" s="752" t="s">
        <v>337</v>
      </c>
      <c r="C35" s="781"/>
      <c r="D35" s="781"/>
      <c r="E35" s="781"/>
      <c r="F35" s="287">
        <f>SUM(F29:F34)</f>
        <v>1</v>
      </c>
      <c r="G35" s="317">
        <f>SUM(G29:G34)</f>
        <v>1194.8499999999999</v>
      </c>
      <c r="H35" s="437">
        <f>SUM(H29:H34)</f>
        <v>1</v>
      </c>
      <c r="I35" s="403">
        <f>SUM(I29:I34)</f>
        <v>1239.06</v>
      </c>
    </row>
    <row r="36" spans="1:9" x14ac:dyDescent="0.2">
      <c r="A36" s="922" t="s">
        <v>975</v>
      </c>
      <c r="B36" s="923"/>
      <c r="C36" s="923"/>
      <c r="D36" s="923"/>
      <c r="E36" s="923"/>
      <c r="F36" s="923"/>
      <c r="G36" s="923"/>
      <c r="H36" s="1001"/>
      <c r="I36" s="1002"/>
    </row>
    <row r="37" spans="1:9" x14ac:dyDescent="0.2">
      <c r="A37" s="775"/>
      <c r="B37" s="776"/>
      <c r="C37" s="776"/>
      <c r="D37" s="776"/>
      <c r="E37" s="776"/>
      <c r="F37" s="776"/>
      <c r="G37" s="776"/>
      <c r="H37" s="1001"/>
      <c r="I37" s="1002"/>
    </row>
    <row r="38" spans="1:9" x14ac:dyDescent="0.2">
      <c r="A38" s="132"/>
      <c r="B38" s="752" t="s">
        <v>555</v>
      </c>
      <c r="C38" s="781"/>
      <c r="D38" s="781"/>
      <c r="E38" s="781"/>
      <c r="F38" s="785"/>
      <c r="G38" s="943"/>
      <c r="H38" s="910"/>
      <c r="I38" s="911"/>
    </row>
    <row r="39" spans="1:9" x14ac:dyDescent="0.2">
      <c r="A39" s="678" t="s">
        <v>556</v>
      </c>
      <c r="B39" s="793"/>
      <c r="C39" s="793"/>
      <c r="D39" s="793"/>
      <c r="E39" s="793"/>
      <c r="F39" s="793"/>
      <c r="G39" s="793"/>
      <c r="H39" s="970"/>
      <c r="I39" s="971"/>
    </row>
    <row r="40" spans="1:9" x14ac:dyDescent="0.2">
      <c r="A40" s="68" t="s">
        <v>557</v>
      </c>
      <c r="B40" s="678" t="s">
        <v>558</v>
      </c>
      <c r="C40" s="793"/>
      <c r="D40" s="793"/>
      <c r="E40" s="793"/>
      <c r="F40" s="818"/>
      <c r="G40" s="311" t="s">
        <v>331</v>
      </c>
      <c r="H40" s="380"/>
      <c r="I40" s="401" t="s">
        <v>331</v>
      </c>
    </row>
    <row r="41" spans="1:9" x14ac:dyDescent="0.2">
      <c r="A41" s="68" t="s">
        <v>316</v>
      </c>
      <c r="B41" s="804" t="s">
        <v>559</v>
      </c>
      <c r="C41" s="679"/>
      <c r="D41" s="679"/>
      <c r="E41" s="680"/>
      <c r="F41" s="288">
        <v>8.3299999999999999E-2</v>
      </c>
      <c r="G41" s="319">
        <f>F41*G35</f>
        <v>99.531004999999993</v>
      </c>
      <c r="H41" s="434">
        <v>8.3299999999999999E-2</v>
      </c>
      <c r="I41" s="404">
        <f>H41*I35</f>
        <v>103.21369799999999</v>
      </c>
    </row>
    <row r="42" spans="1:9" x14ac:dyDescent="0.2">
      <c r="A42" s="68" t="s">
        <v>318</v>
      </c>
      <c r="B42" s="804" t="s">
        <v>607</v>
      </c>
      <c r="C42" s="679"/>
      <c r="D42" s="679"/>
      <c r="E42" s="680"/>
      <c r="F42" s="288">
        <f>8.33%+(8.33%*1/3)</f>
        <v>0.11106666666666666</v>
      </c>
      <c r="G42" s="319">
        <f>F42*G35</f>
        <v>132.70800666666665</v>
      </c>
      <c r="H42" s="434">
        <f>8.33%+(8.33%*1/3)</f>
        <v>0.11106666666666666</v>
      </c>
      <c r="I42" s="404">
        <f>H42*I35</f>
        <v>137.61826399999998</v>
      </c>
    </row>
    <row r="43" spans="1:9" x14ac:dyDescent="0.2">
      <c r="A43" s="73"/>
      <c r="B43" s="752" t="s">
        <v>352</v>
      </c>
      <c r="C43" s="781"/>
      <c r="D43" s="781"/>
      <c r="E43" s="788"/>
      <c r="F43" s="289">
        <f>SUM(F41:F42)</f>
        <v>0.19436666666666666</v>
      </c>
      <c r="G43" s="317">
        <f>SUM(G41:G42)</f>
        <v>232.23901166666664</v>
      </c>
      <c r="H43" s="438">
        <f>SUM(H41:H42)</f>
        <v>0.19436666666666666</v>
      </c>
      <c r="I43" s="403">
        <f>SUM(I41:I42)</f>
        <v>240.83196199999998</v>
      </c>
    </row>
    <row r="44" spans="1:9" ht="24.75" customHeight="1" x14ac:dyDescent="0.2">
      <c r="A44" s="789" t="s">
        <v>1084</v>
      </c>
      <c r="B44" s="790"/>
      <c r="C44" s="790"/>
      <c r="D44" s="790"/>
      <c r="E44" s="790"/>
      <c r="F44" s="790"/>
      <c r="G44" s="790"/>
      <c r="H44" s="877"/>
      <c r="I44" s="878"/>
    </row>
    <row r="45" spans="1:9" ht="18" customHeight="1" x14ac:dyDescent="0.2">
      <c r="A45" s="789" t="s">
        <v>1085</v>
      </c>
      <c r="B45" s="790"/>
      <c r="C45" s="790"/>
      <c r="D45" s="790"/>
      <c r="E45" s="790"/>
      <c r="F45" s="790"/>
      <c r="G45" s="790"/>
      <c r="H45" s="877"/>
      <c r="I45" s="878"/>
    </row>
    <row r="46" spans="1:9" ht="30.75" customHeight="1" x14ac:dyDescent="0.2">
      <c r="A46" s="821" t="s">
        <v>1086</v>
      </c>
      <c r="B46" s="821"/>
      <c r="C46" s="821"/>
      <c r="D46" s="821"/>
      <c r="E46" s="821"/>
      <c r="F46" s="821"/>
      <c r="G46" s="821"/>
      <c r="H46" s="877"/>
      <c r="I46" s="878"/>
    </row>
    <row r="47" spans="1:9" x14ac:dyDescent="0.2">
      <c r="A47" s="791"/>
      <c r="B47" s="792"/>
      <c r="C47" s="792"/>
      <c r="D47" s="792"/>
      <c r="E47" s="792"/>
      <c r="F47" s="792"/>
      <c r="G47" s="792"/>
      <c r="H47" s="877"/>
      <c r="I47" s="878"/>
    </row>
    <row r="48" spans="1:9" x14ac:dyDescent="0.2">
      <c r="A48" s="678" t="s">
        <v>560</v>
      </c>
      <c r="B48" s="793"/>
      <c r="C48" s="793"/>
      <c r="D48" s="793"/>
      <c r="E48" s="793"/>
      <c r="F48" s="793"/>
      <c r="G48" s="793"/>
      <c r="H48" s="970"/>
      <c r="I48" s="971"/>
    </row>
    <row r="49" spans="1:10" ht="24" x14ac:dyDescent="0.2">
      <c r="A49" s="68" t="s">
        <v>561</v>
      </c>
      <c r="B49" s="791" t="s">
        <v>562</v>
      </c>
      <c r="C49" s="776"/>
      <c r="D49" s="776"/>
      <c r="E49" s="893"/>
      <c r="F49" s="288" t="s">
        <v>563</v>
      </c>
      <c r="G49" s="311" t="s">
        <v>331</v>
      </c>
      <c r="H49" s="434" t="s">
        <v>563</v>
      </c>
      <c r="I49" s="401" t="s">
        <v>331</v>
      </c>
    </row>
    <row r="50" spans="1:10" x14ac:dyDescent="0.2">
      <c r="A50" s="68" t="s">
        <v>316</v>
      </c>
      <c r="B50" s="804" t="s">
        <v>342</v>
      </c>
      <c r="C50" s="679"/>
      <c r="D50" s="679"/>
      <c r="E50" s="680"/>
      <c r="F50" s="291"/>
      <c r="G50" s="321">
        <f>F50*(G35+G43+G117)</f>
        <v>0</v>
      </c>
      <c r="H50" s="434"/>
      <c r="I50" s="409">
        <f>H50*(I35+I43+I117)</f>
        <v>0</v>
      </c>
    </row>
    <row r="51" spans="1:10" x14ac:dyDescent="0.2">
      <c r="A51" s="68" t="s">
        <v>318</v>
      </c>
      <c r="B51" s="804" t="s">
        <v>564</v>
      </c>
      <c r="C51" s="679"/>
      <c r="D51" s="679"/>
      <c r="E51" s="680"/>
      <c r="F51" s="291">
        <v>2.5000000000000001E-2</v>
      </c>
      <c r="G51" s="321">
        <f>F51*(G35+G43+G117)</f>
        <v>36.62580343055555</v>
      </c>
      <c r="H51" s="434">
        <v>2.5000000000000001E-2</v>
      </c>
      <c r="I51" s="409">
        <f>H51*(I35+I43+I117)</f>
        <v>37.980975016666669</v>
      </c>
    </row>
    <row r="52" spans="1:10" x14ac:dyDescent="0.2">
      <c r="A52" s="68" t="s">
        <v>321</v>
      </c>
      <c r="B52" s="804" t="s">
        <v>565</v>
      </c>
      <c r="C52" s="679"/>
      <c r="D52" s="679"/>
      <c r="E52" s="680"/>
      <c r="F52" s="291">
        <v>2.7900000000000001E-2</v>
      </c>
      <c r="G52" s="321">
        <f>F52*(G35+G43+G117)</f>
        <v>40.874396628499994</v>
      </c>
      <c r="H52" s="196">
        <v>2.76E-2</v>
      </c>
      <c r="I52" s="506">
        <f>H52*(I35+I43+I117)</f>
        <v>41.930996418399999</v>
      </c>
      <c r="J52" s="504"/>
    </row>
    <row r="53" spans="1:10" x14ac:dyDescent="0.2">
      <c r="A53" s="68" t="s">
        <v>322</v>
      </c>
      <c r="B53" s="804" t="s">
        <v>566</v>
      </c>
      <c r="C53" s="679"/>
      <c r="D53" s="679"/>
      <c r="E53" s="680"/>
      <c r="F53" s="291">
        <v>1.4999999999999999E-2</v>
      </c>
      <c r="G53" s="321">
        <f>F53*(G35+G43+G117)</f>
        <v>21.975482058333331</v>
      </c>
      <c r="H53" s="434">
        <v>1.4999999999999999E-2</v>
      </c>
      <c r="I53" s="409">
        <f>H53*(I35+I43+I117)</f>
        <v>22.788585009999998</v>
      </c>
    </row>
    <row r="54" spans="1:10" x14ac:dyDescent="0.2">
      <c r="A54" s="68" t="s">
        <v>333</v>
      </c>
      <c r="B54" s="804" t="s">
        <v>343</v>
      </c>
      <c r="C54" s="679"/>
      <c r="D54" s="679"/>
      <c r="E54" s="680"/>
      <c r="F54" s="291">
        <v>0.01</v>
      </c>
      <c r="G54" s="321">
        <f>F54*(G35+G43+G117)</f>
        <v>14.650321372222221</v>
      </c>
      <c r="H54" s="434">
        <v>0.01</v>
      </c>
      <c r="I54" s="409">
        <f>H54*(I35+I43+I117)</f>
        <v>15.192390006666667</v>
      </c>
    </row>
    <row r="55" spans="1:10" x14ac:dyDescent="0.2">
      <c r="A55" s="68" t="s">
        <v>334</v>
      </c>
      <c r="B55" s="804" t="s">
        <v>346</v>
      </c>
      <c r="C55" s="679"/>
      <c r="D55" s="679"/>
      <c r="E55" s="680"/>
      <c r="F55" s="291">
        <v>6.0000000000000001E-3</v>
      </c>
      <c r="G55" s="321">
        <f>F55*(G35+G43+G117)</f>
        <v>8.7901928233333315</v>
      </c>
      <c r="H55" s="434">
        <v>6.0000000000000001E-3</v>
      </c>
      <c r="I55" s="409">
        <f>H55*(I35+I43+I117)</f>
        <v>9.1154340040000008</v>
      </c>
    </row>
    <row r="56" spans="1:10" x14ac:dyDescent="0.2">
      <c r="A56" s="68" t="s">
        <v>335</v>
      </c>
      <c r="B56" s="804" t="s">
        <v>344</v>
      </c>
      <c r="C56" s="679"/>
      <c r="D56" s="679"/>
      <c r="E56" s="680"/>
      <c r="F56" s="291">
        <v>2E-3</v>
      </c>
      <c r="G56" s="321">
        <f>F56*(G35+G43+G117)</f>
        <v>2.9300642744444438</v>
      </c>
      <c r="H56" s="434">
        <v>2E-3</v>
      </c>
      <c r="I56" s="409">
        <f>H56*(I35+I43+I117)</f>
        <v>3.0384780013333335</v>
      </c>
    </row>
    <row r="57" spans="1:10" x14ac:dyDescent="0.2">
      <c r="A57" s="68" t="s">
        <v>336</v>
      </c>
      <c r="B57" s="804" t="s">
        <v>345</v>
      </c>
      <c r="C57" s="679"/>
      <c r="D57" s="679"/>
      <c r="E57" s="680"/>
      <c r="F57" s="291">
        <v>0.08</v>
      </c>
      <c r="G57" s="321">
        <f>F57*(G35+G43+G117)</f>
        <v>117.20257097777777</v>
      </c>
      <c r="H57" s="434">
        <v>0.08</v>
      </c>
      <c r="I57" s="409">
        <f>H57*(I35+I43+I117)</f>
        <v>121.53912005333333</v>
      </c>
    </row>
    <row r="58" spans="1:10" x14ac:dyDescent="0.2">
      <c r="A58" s="73"/>
      <c r="B58" s="752" t="s">
        <v>352</v>
      </c>
      <c r="C58" s="781"/>
      <c r="D58" s="781"/>
      <c r="E58" s="788"/>
      <c r="F58" s="289">
        <f>SUM(F50:F57)</f>
        <v>0.16589999999999999</v>
      </c>
      <c r="G58" s="322">
        <f>SUM(G50:G57)</f>
        <v>243.04883156516664</v>
      </c>
      <c r="H58" s="438">
        <f>SUM(H50:H57)</f>
        <v>0.1656</v>
      </c>
      <c r="I58" s="410">
        <f>SUM(I50:I57)</f>
        <v>251.58597851040003</v>
      </c>
    </row>
    <row r="59" spans="1:10" x14ac:dyDescent="0.2">
      <c r="A59" s="972" t="s">
        <v>1055</v>
      </c>
      <c r="B59" s="973"/>
      <c r="C59" s="973"/>
      <c r="D59" s="973"/>
      <c r="E59" s="973"/>
      <c r="F59" s="973"/>
      <c r="G59" s="973"/>
      <c r="H59" s="1054"/>
      <c r="I59" s="1055"/>
    </row>
    <row r="60" spans="1:10" ht="11.25" customHeight="1" x14ac:dyDescent="0.2">
      <c r="A60" s="972" t="s">
        <v>1056</v>
      </c>
      <c r="B60" s="973"/>
      <c r="C60" s="973"/>
      <c r="D60" s="973"/>
      <c r="E60" s="973"/>
      <c r="F60" s="973"/>
      <c r="G60" s="973"/>
      <c r="H60" s="1054"/>
      <c r="I60" s="1055"/>
    </row>
    <row r="61" spans="1:10" ht="12" customHeight="1" x14ac:dyDescent="0.2">
      <c r="A61" s="976" t="s">
        <v>936</v>
      </c>
      <c r="B61" s="977"/>
      <c r="C61" s="977"/>
      <c r="D61" s="977"/>
      <c r="E61" s="977"/>
      <c r="F61" s="977"/>
      <c r="G61" s="977"/>
      <c r="H61" s="1054"/>
      <c r="I61" s="1055"/>
    </row>
    <row r="62" spans="1:10" x14ac:dyDescent="0.2">
      <c r="A62" s="78"/>
      <c r="B62" s="79"/>
      <c r="C62" s="77"/>
      <c r="D62" s="77"/>
      <c r="E62" s="77"/>
      <c r="F62" s="291"/>
      <c r="G62" s="312"/>
      <c r="H62" s="1054"/>
      <c r="I62" s="1055"/>
    </row>
    <row r="63" spans="1:10" x14ac:dyDescent="0.2">
      <c r="A63" s="678" t="s">
        <v>567</v>
      </c>
      <c r="B63" s="793"/>
      <c r="C63" s="793"/>
      <c r="D63" s="793"/>
      <c r="E63" s="793"/>
      <c r="F63" s="793"/>
      <c r="G63" s="793"/>
      <c r="H63" s="1054"/>
      <c r="I63" s="1055"/>
    </row>
    <row r="64" spans="1:10" x14ac:dyDescent="0.2">
      <c r="A64" s="68" t="s">
        <v>568</v>
      </c>
      <c r="B64" s="820" t="s">
        <v>569</v>
      </c>
      <c r="C64" s="820"/>
      <c r="D64" s="820"/>
      <c r="E64" s="820"/>
      <c r="F64" s="820"/>
      <c r="G64" s="311" t="s">
        <v>331</v>
      </c>
      <c r="H64" s="380"/>
      <c r="I64" s="401" t="s">
        <v>331</v>
      </c>
    </row>
    <row r="65" spans="1:9" ht="32.25" customHeight="1" x14ac:dyDescent="0.2">
      <c r="A65" s="68" t="s">
        <v>316</v>
      </c>
      <c r="B65" s="804" t="s">
        <v>1047</v>
      </c>
      <c r="C65" s="679"/>
      <c r="D65" s="679"/>
      <c r="E65" s="679"/>
      <c r="F65" s="680"/>
      <c r="G65" s="319">
        <f>((5+2.5)*2*21.5)-6%*G35</f>
        <v>250.80900000000003</v>
      </c>
      <c r="H65" s="388"/>
      <c r="I65" s="404">
        <f>((5+2.5)*2*21.5)-6%*I35</f>
        <v>248.15640000000002</v>
      </c>
    </row>
    <row r="66" spans="1:9" ht="32.25" customHeight="1" x14ac:dyDescent="0.2">
      <c r="A66" s="68" t="s">
        <v>318</v>
      </c>
      <c r="B66" s="804" t="s">
        <v>1048</v>
      </c>
      <c r="C66" s="679"/>
      <c r="D66" s="679"/>
      <c r="E66" s="679"/>
      <c r="F66" s="680"/>
      <c r="G66" s="319">
        <f>31.5*21.5</f>
        <v>677.25</v>
      </c>
      <c r="H66" s="388"/>
      <c r="I66" s="404">
        <f>32.7*21.5</f>
        <v>703.05000000000007</v>
      </c>
    </row>
    <row r="67" spans="1:9" x14ac:dyDescent="0.2">
      <c r="A67" s="68" t="s">
        <v>321</v>
      </c>
      <c r="B67" s="804" t="s">
        <v>963</v>
      </c>
      <c r="C67" s="679"/>
      <c r="D67" s="679"/>
      <c r="E67" s="679"/>
      <c r="F67" s="680"/>
      <c r="G67" s="319">
        <v>0</v>
      </c>
      <c r="H67" s="388"/>
      <c r="I67" s="404">
        <v>0</v>
      </c>
    </row>
    <row r="68" spans="1:9" x14ac:dyDescent="0.2">
      <c r="A68" s="68" t="s">
        <v>322</v>
      </c>
      <c r="B68" s="678" t="s">
        <v>930</v>
      </c>
      <c r="C68" s="679"/>
      <c r="D68" s="679"/>
      <c r="E68" s="679"/>
      <c r="F68" s="680"/>
      <c r="G68" s="319">
        <v>0</v>
      </c>
      <c r="H68" s="388"/>
      <c r="I68" s="404">
        <v>0</v>
      </c>
    </row>
    <row r="69" spans="1:9" x14ac:dyDescent="0.2">
      <c r="A69" s="68" t="s">
        <v>333</v>
      </c>
      <c r="B69" s="678" t="s">
        <v>933</v>
      </c>
      <c r="C69" s="793"/>
      <c r="D69" s="793"/>
      <c r="E69" s="793"/>
      <c r="F69" s="818"/>
      <c r="G69" s="319"/>
      <c r="H69" s="388"/>
      <c r="I69" s="404"/>
    </row>
    <row r="70" spans="1:9" x14ac:dyDescent="0.2">
      <c r="A70" s="68" t="s">
        <v>334</v>
      </c>
      <c r="B70" s="678" t="s">
        <v>932</v>
      </c>
      <c r="C70" s="679"/>
      <c r="D70" s="679"/>
      <c r="E70" s="679"/>
      <c r="F70" s="680"/>
      <c r="G70" s="319">
        <v>0</v>
      </c>
      <c r="H70" s="388"/>
      <c r="I70" s="404">
        <v>10.65</v>
      </c>
    </row>
    <row r="71" spans="1:9" x14ac:dyDescent="0.2">
      <c r="A71" s="68" t="s">
        <v>335</v>
      </c>
      <c r="B71" s="678" t="s">
        <v>931</v>
      </c>
      <c r="C71" s="679"/>
      <c r="D71" s="679"/>
      <c r="E71" s="679"/>
      <c r="F71" s="680"/>
      <c r="G71" s="319">
        <v>0</v>
      </c>
      <c r="H71" s="388"/>
      <c r="I71" s="404">
        <v>0</v>
      </c>
    </row>
    <row r="72" spans="1:9" x14ac:dyDescent="0.2">
      <c r="A72" s="69"/>
      <c r="B72" s="752" t="s">
        <v>352</v>
      </c>
      <c r="C72" s="781"/>
      <c r="D72" s="781"/>
      <c r="E72" s="781"/>
      <c r="F72" s="788"/>
      <c r="G72" s="317">
        <f>SUM(G65:G70)</f>
        <v>928.05899999999997</v>
      </c>
      <c r="H72" s="389"/>
      <c r="I72" s="403">
        <f>SUM(I65:I70)</f>
        <v>961.85640000000001</v>
      </c>
    </row>
    <row r="73" spans="1:9" x14ac:dyDescent="0.2">
      <c r="A73" s="972" t="s">
        <v>1057</v>
      </c>
      <c r="B73" s="973"/>
      <c r="C73" s="973"/>
      <c r="D73" s="973"/>
      <c r="E73" s="973"/>
      <c r="F73" s="973"/>
      <c r="G73" s="973"/>
      <c r="H73" s="877"/>
      <c r="I73" s="878"/>
    </row>
    <row r="74" spans="1:9" ht="15" customHeight="1" x14ac:dyDescent="0.2">
      <c r="A74" s="972" t="s">
        <v>1058</v>
      </c>
      <c r="B74" s="973"/>
      <c r="C74" s="973"/>
      <c r="D74" s="973"/>
      <c r="E74" s="973"/>
      <c r="F74" s="973"/>
      <c r="G74" s="973"/>
      <c r="H74" s="877"/>
      <c r="I74" s="878"/>
    </row>
    <row r="75" spans="1:9" x14ac:dyDescent="0.2">
      <c r="A75" s="133"/>
      <c r="B75" s="77"/>
      <c r="C75" s="77"/>
      <c r="D75" s="77"/>
      <c r="E75" s="77"/>
      <c r="F75" s="290"/>
      <c r="G75" s="307"/>
      <c r="H75" s="877"/>
      <c r="I75" s="878"/>
    </row>
    <row r="76" spans="1:9" x14ac:dyDescent="0.2">
      <c r="A76" s="73"/>
      <c r="B76" s="752" t="s">
        <v>892</v>
      </c>
      <c r="C76" s="781"/>
      <c r="D76" s="781"/>
      <c r="E76" s="781"/>
      <c r="F76" s="781"/>
      <c r="G76" s="320"/>
      <c r="H76" s="754"/>
      <c r="I76" s="755"/>
    </row>
    <row r="77" spans="1:9" x14ac:dyDescent="0.2">
      <c r="A77" s="68">
        <v>2</v>
      </c>
      <c r="B77" s="820" t="s">
        <v>571</v>
      </c>
      <c r="C77" s="820"/>
      <c r="D77" s="820"/>
      <c r="E77" s="820"/>
      <c r="F77" s="820"/>
      <c r="G77" s="311" t="s">
        <v>331</v>
      </c>
      <c r="H77" s="380"/>
      <c r="I77" s="401" t="s">
        <v>331</v>
      </c>
    </row>
    <row r="78" spans="1:9" x14ac:dyDescent="0.2">
      <c r="A78" s="68" t="s">
        <v>557</v>
      </c>
      <c r="B78" s="819" t="s">
        <v>572</v>
      </c>
      <c r="C78" s="819"/>
      <c r="D78" s="819"/>
      <c r="E78" s="819"/>
      <c r="F78" s="819"/>
      <c r="G78" s="319">
        <f>G43</f>
        <v>232.23901166666664</v>
      </c>
      <c r="H78" s="388"/>
      <c r="I78" s="404">
        <f>I43</f>
        <v>240.83196199999998</v>
      </c>
    </row>
    <row r="79" spans="1:9" x14ac:dyDescent="0.2">
      <c r="A79" s="68" t="s">
        <v>561</v>
      </c>
      <c r="B79" s="819" t="s">
        <v>562</v>
      </c>
      <c r="C79" s="819"/>
      <c r="D79" s="819"/>
      <c r="E79" s="819"/>
      <c r="F79" s="819"/>
      <c r="G79" s="319">
        <f>G58</f>
        <v>243.04883156516664</v>
      </c>
      <c r="H79" s="388"/>
      <c r="I79" s="404">
        <f>I58</f>
        <v>251.58597851040003</v>
      </c>
    </row>
    <row r="80" spans="1:9" x14ac:dyDescent="0.2">
      <c r="A80" s="68" t="s">
        <v>568</v>
      </c>
      <c r="B80" s="819" t="s">
        <v>569</v>
      </c>
      <c r="C80" s="819"/>
      <c r="D80" s="819"/>
      <c r="E80" s="819"/>
      <c r="F80" s="819"/>
      <c r="G80" s="319">
        <f>G72</f>
        <v>928.05899999999997</v>
      </c>
      <c r="H80" s="388"/>
      <c r="I80" s="404">
        <f>I72</f>
        <v>961.85640000000001</v>
      </c>
    </row>
    <row r="81" spans="1:9" x14ac:dyDescent="0.2">
      <c r="A81" s="134"/>
      <c r="B81" s="756" t="s">
        <v>352</v>
      </c>
      <c r="C81" s="840"/>
      <c r="D81" s="840"/>
      <c r="E81" s="840"/>
      <c r="F81" s="841"/>
      <c r="G81" s="317">
        <f>SUM(G78:G80)</f>
        <v>1403.3468432318332</v>
      </c>
      <c r="H81" s="389"/>
      <c r="I81" s="403">
        <f>SUM(I78:I80)</f>
        <v>1454.2743405104</v>
      </c>
    </row>
    <row r="82" spans="1:9" x14ac:dyDescent="0.2">
      <c r="A82" s="838"/>
      <c r="B82" s="839"/>
      <c r="C82" s="839"/>
      <c r="D82" s="839"/>
      <c r="E82" s="839"/>
      <c r="F82" s="839"/>
      <c r="G82" s="839"/>
      <c r="H82" s="968"/>
      <c r="I82" s="969"/>
    </row>
    <row r="83" spans="1:9" x14ac:dyDescent="0.2">
      <c r="A83" s="132"/>
      <c r="B83" s="752" t="s">
        <v>885</v>
      </c>
      <c r="C83" s="781"/>
      <c r="D83" s="781"/>
      <c r="E83" s="788"/>
      <c r="F83" s="785"/>
      <c r="G83" s="943"/>
      <c r="H83" s="910"/>
      <c r="I83" s="911"/>
    </row>
    <row r="84" spans="1:9" ht="24" x14ac:dyDescent="0.2">
      <c r="A84" s="68">
        <v>3</v>
      </c>
      <c r="B84" s="791" t="s">
        <v>348</v>
      </c>
      <c r="C84" s="792"/>
      <c r="D84" s="792"/>
      <c r="E84" s="809"/>
      <c r="F84" s="288" t="s">
        <v>563</v>
      </c>
      <c r="G84" s="311" t="s">
        <v>331</v>
      </c>
      <c r="H84" s="434" t="s">
        <v>563</v>
      </c>
      <c r="I84" s="401" t="s">
        <v>331</v>
      </c>
    </row>
    <row r="85" spans="1:9" x14ac:dyDescent="0.2">
      <c r="A85" s="78" t="s">
        <v>316</v>
      </c>
      <c r="B85" s="804" t="s">
        <v>1003</v>
      </c>
      <c r="C85" s="679"/>
      <c r="D85" s="679"/>
      <c r="E85" s="680"/>
      <c r="F85" s="292">
        <v>4.1700000000000001E-3</v>
      </c>
      <c r="G85" s="319">
        <f>F85*(G35+G43)</f>
        <v>5.9509611786499992</v>
      </c>
      <c r="H85" s="441">
        <v>4.1700000000000001E-3</v>
      </c>
      <c r="I85" s="404">
        <f>H85*(I35+I43)</f>
        <v>6.1711494815399996</v>
      </c>
    </row>
    <row r="86" spans="1:9" x14ac:dyDescent="0.2">
      <c r="A86" s="78" t="s">
        <v>318</v>
      </c>
      <c r="B86" s="804" t="s">
        <v>573</v>
      </c>
      <c r="C86" s="679"/>
      <c r="D86" s="679"/>
      <c r="E86" s="680"/>
      <c r="F86" s="292">
        <f>F57*F85</f>
        <v>3.3360000000000003E-4</v>
      </c>
      <c r="G86" s="319">
        <f>F86*(G35+G43)</f>
        <v>0.47607689429199995</v>
      </c>
      <c r="H86" s="441">
        <f>H57*H85</f>
        <v>3.3360000000000003E-4</v>
      </c>
      <c r="I86" s="404">
        <f>H86*(I35+I43)</f>
        <v>0.49369195852320003</v>
      </c>
    </row>
    <row r="87" spans="1:9" ht="39" customHeight="1" x14ac:dyDescent="0.2">
      <c r="A87" s="68" t="s">
        <v>321</v>
      </c>
      <c r="B87" s="804" t="s">
        <v>1089</v>
      </c>
      <c r="C87" s="679"/>
      <c r="D87" s="679"/>
      <c r="E87" s="680"/>
      <c r="F87" s="292">
        <f xml:space="preserve"> (40%+10%)*F85</f>
        <v>2.085E-3</v>
      </c>
      <c r="G87" s="319">
        <f>F87*(G35+G43)</f>
        <v>2.9754805893249996</v>
      </c>
      <c r="H87" s="441">
        <f xml:space="preserve"> (40%+10%)*H85</f>
        <v>2.085E-3</v>
      </c>
      <c r="I87" s="404">
        <f>H87*(I35+I43)</f>
        <v>3.0855747407699998</v>
      </c>
    </row>
    <row r="88" spans="1:9" ht="31.5" customHeight="1" x14ac:dyDescent="0.2">
      <c r="A88" s="68" t="s">
        <v>322</v>
      </c>
      <c r="B88" s="804" t="s">
        <v>1093</v>
      </c>
      <c r="C88" s="679"/>
      <c r="D88" s="679"/>
      <c r="E88" s="680"/>
      <c r="F88" s="292">
        <f>(7/30)/12</f>
        <v>1.9444444444444445E-2</v>
      </c>
      <c r="G88" s="319">
        <f>F88*(G35+G43)</f>
        <v>27.748953004629627</v>
      </c>
      <c r="H88" s="441">
        <f>(7/30)/12</f>
        <v>1.9444444444444445E-2</v>
      </c>
      <c r="I88" s="404">
        <f>H88*(I35+I43)</f>
        <v>28.775677038888887</v>
      </c>
    </row>
    <row r="89" spans="1:9" ht="23.25" customHeight="1" x14ac:dyDescent="0.2">
      <c r="A89" s="68" t="s">
        <v>333</v>
      </c>
      <c r="B89" s="804" t="s">
        <v>1090</v>
      </c>
      <c r="C89" s="679"/>
      <c r="D89" s="679"/>
      <c r="E89" s="680"/>
      <c r="F89" s="292">
        <f>F58*F88</f>
        <v>3.2258333333333332E-3</v>
      </c>
      <c r="G89" s="319">
        <f>F89*($G$35+$G$43)</f>
        <v>4.6035513034680546</v>
      </c>
      <c r="H89" s="441">
        <f>H58*H88</f>
        <v>3.2200000000000002E-3</v>
      </c>
      <c r="I89" s="404">
        <f>H89*($I$35+$I$43)</f>
        <v>4.7652521176400002</v>
      </c>
    </row>
    <row r="90" spans="1:9" x14ac:dyDescent="0.2">
      <c r="A90" s="68" t="s">
        <v>334</v>
      </c>
      <c r="B90" s="804" t="s">
        <v>979</v>
      </c>
      <c r="C90" s="679"/>
      <c r="D90" s="679"/>
      <c r="E90" s="680"/>
      <c r="F90" s="288">
        <f>50%*F88</f>
        <v>9.7222222222222224E-3</v>
      </c>
      <c r="G90" s="319">
        <f>F90*($G$35+$G$43)</f>
        <v>13.874476502314813</v>
      </c>
      <c r="H90" s="434">
        <f>50%*H88</f>
        <v>9.7222222222222224E-3</v>
      </c>
      <c r="I90" s="404">
        <f>H90*($I$35+$I$43)</f>
        <v>14.387838519444443</v>
      </c>
    </row>
    <row r="91" spans="1:9" x14ac:dyDescent="0.2">
      <c r="A91" s="73"/>
      <c r="B91" s="752" t="s">
        <v>352</v>
      </c>
      <c r="C91" s="781"/>
      <c r="D91" s="781"/>
      <c r="E91" s="788"/>
      <c r="F91" s="300">
        <f>SUM(F85:F90)</f>
        <v>3.8981100000000005E-2</v>
      </c>
      <c r="G91" s="317">
        <f>SUM(G85:G90)</f>
        <v>55.629499472679491</v>
      </c>
      <c r="H91" s="452">
        <f>SUM(H85:H90)</f>
        <v>3.8975266666666668E-2</v>
      </c>
      <c r="I91" s="403">
        <f>SUM(I85:I90)</f>
        <v>57.679183856806532</v>
      </c>
    </row>
    <row r="92" spans="1:9" x14ac:dyDescent="0.2">
      <c r="A92" s="83"/>
      <c r="B92" s="84"/>
      <c r="C92" s="84"/>
      <c r="D92" s="84"/>
      <c r="E92" s="84"/>
      <c r="F92" s="293"/>
      <c r="G92" s="315"/>
      <c r="H92" s="944"/>
      <c r="I92" s="945"/>
    </row>
    <row r="93" spans="1:9" x14ac:dyDescent="0.2">
      <c r="A93" s="132"/>
      <c r="B93" s="752" t="s">
        <v>886</v>
      </c>
      <c r="C93" s="781"/>
      <c r="D93" s="781"/>
      <c r="E93" s="781"/>
      <c r="F93" s="785"/>
      <c r="G93" s="943"/>
      <c r="H93" s="910"/>
      <c r="I93" s="911"/>
    </row>
    <row r="94" spans="1:9" ht="21.75" customHeight="1" x14ac:dyDescent="0.2">
      <c r="A94" s="980" t="s">
        <v>1059</v>
      </c>
      <c r="B94" s="973"/>
      <c r="C94" s="973"/>
      <c r="D94" s="973"/>
      <c r="E94" s="973"/>
      <c r="F94" s="973"/>
      <c r="G94" s="973"/>
      <c r="H94" s="877"/>
      <c r="I94" s="878"/>
    </row>
    <row r="95" spans="1:9" x14ac:dyDescent="0.2">
      <c r="A95" s="775"/>
      <c r="B95" s="776"/>
      <c r="C95" s="776"/>
      <c r="D95" s="776"/>
      <c r="E95" s="776"/>
      <c r="F95" s="776"/>
      <c r="G95" s="776"/>
      <c r="H95" s="877"/>
      <c r="I95" s="878"/>
    </row>
    <row r="96" spans="1:9" x14ac:dyDescent="0.2">
      <c r="A96" s="678" t="s">
        <v>902</v>
      </c>
      <c r="B96" s="793"/>
      <c r="C96" s="793"/>
      <c r="D96" s="793"/>
      <c r="E96" s="793"/>
      <c r="F96" s="793"/>
      <c r="G96" s="793"/>
      <c r="H96" s="877"/>
      <c r="I96" s="878"/>
    </row>
    <row r="97" spans="1:9" ht="24" x14ac:dyDescent="0.2">
      <c r="A97" s="78" t="s">
        <v>340</v>
      </c>
      <c r="B97" s="791" t="s">
        <v>903</v>
      </c>
      <c r="C97" s="792"/>
      <c r="D97" s="792"/>
      <c r="E97" s="792"/>
      <c r="F97" s="288" t="s">
        <v>563</v>
      </c>
      <c r="G97" s="311" t="s">
        <v>331</v>
      </c>
      <c r="H97" s="434" t="s">
        <v>563</v>
      </c>
      <c r="I97" s="401" t="s">
        <v>331</v>
      </c>
    </row>
    <row r="98" spans="1:9" x14ac:dyDescent="0.2">
      <c r="A98" s="68" t="s">
        <v>316</v>
      </c>
      <c r="B98" s="804" t="s">
        <v>904</v>
      </c>
      <c r="C98" s="679"/>
      <c r="D98" s="679"/>
      <c r="E98" s="679"/>
      <c r="F98" s="288">
        <f>(8.33%+(8.33%*1/3))/12</f>
        <v>9.2555555555555551E-3</v>
      </c>
      <c r="G98" s="319">
        <f>F98*G35</f>
        <v>11.059000555555555</v>
      </c>
      <c r="H98" s="434">
        <f>(8.33%+(8.33%*1/3))/12</f>
        <v>9.2555555555555551E-3</v>
      </c>
      <c r="I98" s="404">
        <f>H98*I35</f>
        <v>11.468188666666666</v>
      </c>
    </row>
    <row r="99" spans="1:9" x14ac:dyDescent="0.2">
      <c r="A99" s="68" t="s">
        <v>318</v>
      </c>
      <c r="B99" s="804" t="s">
        <v>980</v>
      </c>
      <c r="C99" s="679"/>
      <c r="D99" s="679"/>
      <c r="E99" s="679"/>
      <c r="F99" s="288">
        <f>(1/12)/30</f>
        <v>2.7777777777777775E-3</v>
      </c>
      <c r="G99" s="319">
        <f>F99*G35</f>
        <v>3.319027777777777</v>
      </c>
      <c r="H99" s="434">
        <f>(1/12)/30</f>
        <v>2.7777777777777775E-3</v>
      </c>
      <c r="I99" s="404">
        <f>H99*I35</f>
        <v>3.4418333333333329</v>
      </c>
    </row>
    <row r="100" spans="1:9" x14ac:dyDescent="0.2">
      <c r="A100" s="68" t="s">
        <v>321</v>
      </c>
      <c r="B100" s="804" t="s">
        <v>981</v>
      </c>
      <c r="C100" s="679"/>
      <c r="D100" s="679"/>
      <c r="E100" s="679"/>
      <c r="F100" s="294">
        <f>1.5%/12</f>
        <v>1.25E-3</v>
      </c>
      <c r="G100" s="319">
        <f>F100*G35</f>
        <v>1.4935624999999999</v>
      </c>
      <c r="H100" s="441">
        <f>1.5%/12</f>
        <v>1.25E-3</v>
      </c>
      <c r="I100" s="404">
        <f>H100*I35</f>
        <v>1.5488249999999999</v>
      </c>
    </row>
    <row r="101" spans="1:9" ht="27" customHeight="1" x14ac:dyDescent="0.2">
      <c r="A101" s="68" t="s">
        <v>322</v>
      </c>
      <c r="B101" s="804" t="s">
        <v>986</v>
      </c>
      <c r="C101" s="679"/>
      <c r="D101" s="679"/>
      <c r="E101" s="679"/>
      <c r="F101" s="292">
        <f>8%/12/2</f>
        <v>3.3333333333333335E-3</v>
      </c>
      <c r="G101" s="319">
        <f>F101*G35</f>
        <v>3.9828333333333332</v>
      </c>
      <c r="H101" s="441">
        <f>8%/12/2</f>
        <v>3.3333333333333335E-3</v>
      </c>
      <c r="I101" s="404">
        <f>H101*I35</f>
        <v>4.1302000000000003</v>
      </c>
    </row>
    <row r="102" spans="1:9" ht="27" customHeight="1" x14ac:dyDescent="0.2">
      <c r="A102" s="68" t="s">
        <v>333</v>
      </c>
      <c r="B102" s="804" t="s">
        <v>983</v>
      </c>
      <c r="C102" s="679"/>
      <c r="D102" s="679"/>
      <c r="E102" s="679"/>
      <c r="F102" s="295">
        <f>1.5%/12</f>
        <v>1.25E-3</v>
      </c>
      <c r="G102" s="319">
        <f>F102*G35</f>
        <v>1.4935624999999999</v>
      </c>
      <c r="H102" s="442">
        <f>1.5%/12</f>
        <v>1.25E-3</v>
      </c>
      <c r="I102" s="404">
        <f>H102*I35</f>
        <v>1.5488249999999999</v>
      </c>
    </row>
    <row r="103" spans="1:9" x14ac:dyDescent="0.2">
      <c r="A103" s="68" t="s">
        <v>334</v>
      </c>
      <c r="B103" s="804" t="s">
        <v>907</v>
      </c>
      <c r="C103" s="679"/>
      <c r="D103" s="679"/>
      <c r="E103" s="679"/>
      <c r="F103" s="288">
        <f>(5/12)/30</f>
        <v>1.388888888888889E-2</v>
      </c>
      <c r="G103" s="319">
        <f>F103*G35</f>
        <v>16.59513888888889</v>
      </c>
      <c r="H103" s="434">
        <f>(5/12)/30</f>
        <v>1.388888888888889E-2</v>
      </c>
      <c r="I103" s="404">
        <f>H103*I35</f>
        <v>17.209166666666668</v>
      </c>
    </row>
    <row r="104" spans="1:9" x14ac:dyDescent="0.2">
      <c r="A104" s="73"/>
      <c r="B104" s="752" t="s">
        <v>352</v>
      </c>
      <c r="C104" s="781"/>
      <c r="D104" s="781"/>
      <c r="E104" s="788"/>
      <c r="F104" s="289">
        <f>SUM(F98:F103)</f>
        <v>3.1755555555555558E-2</v>
      </c>
      <c r="G104" s="317">
        <f>SUM(G98:G103)</f>
        <v>37.943125555555554</v>
      </c>
      <c r="H104" s="438">
        <f>SUM(H98:H103)</f>
        <v>3.1755555555555558E-2</v>
      </c>
      <c r="I104" s="403">
        <f>SUM(I98:I103)</f>
        <v>39.34703866666667</v>
      </c>
    </row>
    <row r="105" spans="1:9" ht="24" customHeight="1" x14ac:dyDescent="0.2">
      <c r="A105" s="972" t="s">
        <v>1060</v>
      </c>
      <c r="B105" s="973"/>
      <c r="C105" s="973"/>
      <c r="D105" s="973"/>
      <c r="E105" s="973"/>
      <c r="F105" s="973"/>
      <c r="G105" s="973"/>
      <c r="H105" s="877"/>
      <c r="I105" s="878"/>
    </row>
    <row r="106" spans="1:9" x14ac:dyDescent="0.2">
      <c r="A106" s="791"/>
      <c r="B106" s="792"/>
      <c r="C106" s="792"/>
      <c r="D106" s="792"/>
      <c r="E106" s="792"/>
      <c r="F106" s="792"/>
      <c r="G106" s="792"/>
      <c r="H106" s="877"/>
      <c r="I106" s="878"/>
    </row>
    <row r="107" spans="1:9" x14ac:dyDescent="0.2">
      <c r="A107" s="678" t="s">
        <v>911</v>
      </c>
      <c r="B107" s="793"/>
      <c r="C107" s="793"/>
      <c r="D107" s="793"/>
      <c r="E107" s="793"/>
      <c r="F107" s="793"/>
      <c r="G107" s="793"/>
      <c r="H107" s="877"/>
      <c r="I107" s="878"/>
    </row>
    <row r="108" spans="1:9" ht="24" x14ac:dyDescent="0.2">
      <c r="A108" s="68" t="s">
        <v>347</v>
      </c>
      <c r="B108" s="791" t="s">
        <v>912</v>
      </c>
      <c r="C108" s="792"/>
      <c r="D108" s="792"/>
      <c r="E108" s="809"/>
      <c r="F108" s="288" t="s">
        <v>563</v>
      </c>
      <c r="G108" s="311" t="s">
        <v>331</v>
      </c>
      <c r="H108" s="434" t="s">
        <v>563</v>
      </c>
      <c r="I108" s="401" t="s">
        <v>331</v>
      </c>
    </row>
    <row r="109" spans="1:9" x14ac:dyDescent="0.2">
      <c r="A109" s="68" t="s">
        <v>316</v>
      </c>
      <c r="B109" s="804" t="s">
        <v>913</v>
      </c>
      <c r="C109" s="679"/>
      <c r="D109" s="679"/>
      <c r="E109" s="680"/>
      <c r="F109" s="296"/>
      <c r="G109" s="319"/>
      <c r="H109" s="453"/>
      <c r="I109" s="404"/>
    </row>
    <row r="110" spans="1:9" x14ac:dyDescent="0.2">
      <c r="A110" s="73"/>
      <c r="B110" s="752" t="s">
        <v>352</v>
      </c>
      <c r="C110" s="781"/>
      <c r="D110" s="781"/>
      <c r="E110" s="788"/>
      <c r="F110" s="912"/>
      <c r="G110" s="942"/>
      <c r="H110" s="916"/>
      <c r="I110" s="917"/>
    </row>
    <row r="111" spans="1:9" ht="16.5" customHeight="1" x14ac:dyDescent="0.2">
      <c r="A111" s="972" t="s">
        <v>1061</v>
      </c>
      <c r="B111" s="973"/>
      <c r="C111" s="973"/>
      <c r="D111" s="973"/>
      <c r="E111" s="973"/>
      <c r="F111" s="973"/>
      <c r="G111" s="973"/>
      <c r="H111" s="877"/>
      <c r="I111" s="878"/>
    </row>
    <row r="112" spans="1:9" x14ac:dyDescent="0.2">
      <c r="A112" s="775"/>
      <c r="B112" s="776"/>
      <c r="C112" s="776"/>
      <c r="D112" s="776"/>
      <c r="E112" s="776"/>
      <c r="F112" s="776"/>
      <c r="G112" s="776"/>
      <c r="H112" s="877"/>
      <c r="I112" s="878"/>
    </row>
    <row r="113" spans="1:9" x14ac:dyDescent="0.2">
      <c r="A113" s="73"/>
      <c r="B113" s="752" t="s">
        <v>887</v>
      </c>
      <c r="C113" s="781"/>
      <c r="D113" s="781"/>
      <c r="E113" s="781"/>
      <c r="F113" s="785"/>
      <c r="G113" s="943"/>
      <c r="H113" s="910"/>
      <c r="I113" s="911"/>
    </row>
    <row r="114" spans="1:9" ht="24" x14ac:dyDescent="0.2">
      <c r="A114" s="68">
        <v>4</v>
      </c>
      <c r="B114" s="820" t="s">
        <v>574</v>
      </c>
      <c r="C114" s="820"/>
      <c r="D114" s="820"/>
      <c r="E114" s="820"/>
      <c r="F114" s="288" t="s">
        <v>563</v>
      </c>
      <c r="G114" s="311" t="s">
        <v>331</v>
      </c>
      <c r="H114" s="434" t="s">
        <v>563</v>
      </c>
      <c r="I114" s="401" t="s">
        <v>331</v>
      </c>
    </row>
    <row r="115" spans="1:9" x14ac:dyDescent="0.2">
      <c r="A115" s="68" t="s">
        <v>340</v>
      </c>
      <c r="B115" s="819" t="s">
        <v>908</v>
      </c>
      <c r="C115" s="819"/>
      <c r="D115" s="819"/>
      <c r="E115" s="819"/>
      <c r="F115" s="288">
        <f>F104</f>
        <v>3.1755555555555558E-2</v>
      </c>
      <c r="G115" s="321">
        <f>G104</f>
        <v>37.943125555555554</v>
      </c>
      <c r="H115" s="434">
        <f>H104</f>
        <v>3.1755555555555558E-2</v>
      </c>
      <c r="I115" s="409">
        <f>I104</f>
        <v>39.34703866666667</v>
      </c>
    </row>
    <row r="116" spans="1:9" x14ac:dyDescent="0.2">
      <c r="A116" s="68" t="s">
        <v>347</v>
      </c>
      <c r="B116" s="819" t="s">
        <v>912</v>
      </c>
      <c r="C116" s="819"/>
      <c r="D116" s="819"/>
      <c r="E116" s="819"/>
      <c r="F116" s="288"/>
      <c r="G116" s="325"/>
      <c r="H116" s="434"/>
      <c r="I116" s="415"/>
    </row>
    <row r="117" spans="1:9" x14ac:dyDescent="0.2">
      <c r="A117" s="132"/>
      <c r="B117" s="752" t="s">
        <v>352</v>
      </c>
      <c r="C117" s="781"/>
      <c r="D117" s="781"/>
      <c r="E117" s="788"/>
      <c r="F117" s="289"/>
      <c r="G117" s="317">
        <f>SUM(G115:G116)</f>
        <v>37.943125555555554</v>
      </c>
      <c r="H117" s="438"/>
      <c r="I117" s="403">
        <f>SUM(I115:I116)</f>
        <v>39.34703866666667</v>
      </c>
    </row>
    <row r="118" spans="1:9" x14ac:dyDescent="0.2">
      <c r="A118" s="78"/>
      <c r="B118" s="86"/>
      <c r="C118" s="86"/>
      <c r="D118" s="86"/>
      <c r="E118" s="86"/>
      <c r="F118" s="291"/>
      <c r="G118" s="326"/>
      <c r="H118" s="918"/>
      <c r="I118" s="919"/>
    </row>
    <row r="119" spans="1:9" x14ac:dyDescent="0.2">
      <c r="A119" s="73"/>
      <c r="B119" s="769" t="s">
        <v>888</v>
      </c>
      <c r="C119" s="769"/>
      <c r="D119" s="769"/>
      <c r="E119" s="769"/>
      <c r="F119" s="769"/>
      <c r="G119" s="253"/>
      <c r="H119" s="754"/>
      <c r="I119" s="755"/>
    </row>
    <row r="120" spans="1:9" x14ac:dyDescent="0.2">
      <c r="A120" s="68">
        <v>5</v>
      </c>
      <c r="B120" s="678" t="s">
        <v>338</v>
      </c>
      <c r="C120" s="793"/>
      <c r="D120" s="793"/>
      <c r="E120" s="793"/>
      <c r="F120" s="818"/>
      <c r="G120" s="311" t="s">
        <v>331</v>
      </c>
      <c r="H120" s="380"/>
      <c r="I120" s="401" t="s">
        <v>331</v>
      </c>
    </row>
    <row r="121" spans="1:9" x14ac:dyDescent="0.2">
      <c r="A121" s="68" t="s">
        <v>316</v>
      </c>
      <c r="B121" s="804" t="s">
        <v>339</v>
      </c>
      <c r="C121" s="679"/>
      <c r="D121" s="679"/>
      <c r="E121" s="679"/>
      <c r="F121" s="680"/>
      <c r="G121" s="327">
        <f>Uniformes!J28</f>
        <v>55.335000000000001</v>
      </c>
      <c r="H121" s="395"/>
      <c r="I121" s="414">
        <f>Uniformes!J28</f>
        <v>55.335000000000001</v>
      </c>
    </row>
    <row r="122" spans="1:9" x14ac:dyDescent="0.2">
      <c r="A122" s="68" t="s">
        <v>318</v>
      </c>
      <c r="B122" s="804" t="s">
        <v>583</v>
      </c>
      <c r="C122" s="679"/>
      <c r="D122" s="679"/>
      <c r="E122" s="679"/>
      <c r="F122" s="680"/>
      <c r="G122" s="327"/>
      <c r="H122" s="395"/>
      <c r="I122" s="414"/>
    </row>
    <row r="123" spans="1:9" x14ac:dyDescent="0.2">
      <c r="A123" s="78" t="s">
        <v>321</v>
      </c>
      <c r="B123" s="804" t="s">
        <v>584</v>
      </c>
      <c r="C123" s="679"/>
      <c r="D123" s="679"/>
      <c r="E123" s="679"/>
      <c r="F123" s="680"/>
      <c r="G123" s="327">
        <f>'Ferramentas - Equipts'!F110</f>
        <v>44.99</v>
      </c>
      <c r="H123" s="395"/>
      <c r="I123" s="414">
        <f>'Ferramentas - Equipts'!F110</f>
        <v>44.99</v>
      </c>
    </row>
    <row r="124" spans="1:9" x14ac:dyDescent="0.2">
      <c r="A124" s="78" t="s">
        <v>322</v>
      </c>
      <c r="B124" s="804" t="s">
        <v>575</v>
      </c>
      <c r="C124" s="679"/>
      <c r="D124" s="679"/>
      <c r="E124" s="679"/>
      <c r="F124" s="680"/>
      <c r="G124" s="327"/>
      <c r="H124" s="395"/>
      <c r="I124" s="414"/>
    </row>
    <row r="125" spans="1:9" x14ac:dyDescent="0.2">
      <c r="A125" s="73"/>
      <c r="B125" s="752" t="s">
        <v>352</v>
      </c>
      <c r="C125" s="781"/>
      <c r="D125" s="781"/>
      <c r="E125" s="781"/>
      <c r="F125" s="788"/>
      <c r="G125" s="317">
        <f>SUM(G121:G124)</f>
        <v>100.325</v>
      </c>
      <c r="H125" s="389"/>
      <c r="I125" s="403">
        <f>SUM(I121:I124)</f>
        <v>100.325</v>
      </c>
    </row>
    <row r="126" spans="1:9" x14ac:dyDescent="0.2">
      <c r="A126" s="845" t="s">
        <v>1039</v>
      </c>
      <c r="B126" s="846"/>
      <c r="C126" s="846"/>
      <c r="D126" s="846"/>
      <c r="E126" s="846"/>
      <c r="F126" s="846"/>
      <c r="G126" s="846"/>
      <c r="H126" s="877"/>
      <c r="I126" s="878"/>
    </row>
    <row r="127" spans="1:9" x14ac:dyDescent="0.2">
      <c r="A127" s="804"/>
      <c r="B127" s="679"/>
      <c r="C127" s="679"/>
      <c r="D127" s="679"/>
      <c r="E127" s="679"/>
      <c r="F127" s="679"/>
      <c r="G127" s="679"/>
      <c r="H127" s="877"/>
      <c r="I127" s="878"/>
    </row>
    <row r="128" spans="1:9" x14ac:dyDescent="0.2">
      <c r="A128" s="73"/>
      <c r="B128" s="752" t="s">
        <v>891</v>
      </c>
      <c r="C128" s="781"/>
      <c r="D128" s="781"/>
      <c r="E128" s="781"/>
      <c r="F128" s="781"/>
      <c r="G128" s="320"/>
      <c r="H128" s="754"/>
      <c r="I128" s="755"/>
    </row>
    <row r="129" spans="1:9" x14ac:dyDescent="0.2">
      <c r="A129" s="68">
        <v>6</v>
      </c>
      <c r="B129" s="820" t="s">
        <v>349</v>
      </c>
      <c r="C129" s="820"/>
      <c r="D129" s="820"/>
      <c r="E129" s="874" t="s">
        <v>563</v>
      </c>
      <c r="F129" s="874"/>
      <c r="G129" s="329" t="s">
        <v>331</v>
      </c>
      <c r="H129" s="396"/>
      <c r="I129" s="402" t="s">
        <v>331</v>
      </c>
    </row>
    <row r="130" spans="1:9" ht="12.75" customHeight="1" x14ac:dyDescent="0.2">
      <c r="A130" s="68" t="s">
        <v>316</v>
      </c>
      <c r="B130" s="804" t="s">
        <v>350</v>
      </c>
      <c r="C130" s="679"/>
      <c r="D130" s="680"/>
      <c r="E130" s="847">
        <f>ADM</f>
        <v>2.3199999999999998E-2</v>
      </c>
      <c r="F130" s="848"/>
      <c r="G130" s="327">
        <f>(G35+G81+G91+G117+G125)*E130</f>
        <v>64.776591663633567</v>
      </c>
      <c r="H130" s="395"/>
      <c r="I130" s="414">
        <f>(I35+I81+I91+I117+I125)*E130</f>
        <v>67.063905062385842</v>
      </c>
    </row>
    <row r="131" spans="1:9" ht="12.75" customHeight="1" x14ac:dyDescent="0.2">
      <c r="A131" s="68" t="s">
        <v>318</v>
      </c>
      <c r="B131" s="804" t="s">
        <v>576</v>
      </c>
      <c r="C131" s="679"/>
      <c r="D131" s="680"/>
      <c r="E131" s="847">
        <f>LUCRO_ENGEMIL</f>
        <v>2.3300000000000001E-2</v>
      </c>
      <c r="F131" s="848"/>
      <c r="G131" s="327">
        <f>(G35+G81+G91+G117+G125+G130)*E131</f>
        <v>66.565095696222244</v>
      </c>
      <c r="H131" s="395"/>
      <c r="I131" s="414">
        <f>(I35+I81+I91+I117+I125+I130)*E131</f>
        <v>68.915562606642823</v>
      </c>
    </row>
    <row r="132" spans="1:9" x14ac:dyDescent="0.2">
      <c r="A132" s="68" t="s">
        <v>321</v>
      </c>
      <c r="B132" s="804" t="s">
        <v>351</v>
      </c>
      <c r="C132" s="679"/>
      <c r="D132" s="680"/>
      <c r="E132" s="847">
        <f>SUM(E133:F134)</f>
        <v>0.10150000000000001</v>
      </c>
      <c r="F132" s="848"/>
      <c r="G132" s="325"/>
      <c r="H132" s="397"/>
      <c r="I132" s="415"/>
    </row>
    <row r="133" spans="1:9" ht="12.75" customHeight="1" x14ac:dyDescent="0.2">
      <c r="A133" s="143"/>
      <c r="B133" s="819" t="s">
        <v>971</v>
      </c>
      <c r="C133" s="819"/>
      <c r="D133" s="819"/>
      <c r="E133" s="847">
        <v>8.1500000000000003E-2</v>
      </c>
      <c r="F133" s="848"/>
      <c r="G133" s="327">
        <f>E133*G147</f>
        <v>265.17534411021012</v>
      </c>
      <c r="H133" s="395"/>
      <c r="I133" s="414">
        <f>E133*I147</f>
        <v>274.53889816615077</v>
      </c>
    </row>
    <row r="134" spans="1:9" ht="12.75" customHeight="1" x14ac:dyDescent="0.2">
      <c r="A134" s="143"/>
      <c r="B134" s="819" t="s">
        <v>972</v>
      </c>
      <c r="C134" s="819"/>
      <c r="D134" s="819"/>
      <c r="E134" s="847">
        <v>0.02</v>
      </c>
      <c r="F134" s="848"/>
      <c r="G134" s="327">
        <f>E134*G147</f>
        <v>65.073704076125182</v>
      </c>
      <c r="H134" s="395"/>
      <c r="I134" s="414">
        <f>E134*I147</f>
        <v>67.371508752429634</v>
      </c>
    </row>
    <row r="135" spans="1:9" x14ac:dyDescent="0.2">
      <c r="A135" s="73"/>
      <c r="B135" s="752" t="s">
        <v>352</v>
      </c>
      <c r="C135" s="781"/>
      <c r="D135" s="788"/>
      <c r="E135" s="849">
        <f>E130+E131+E132</f>
        <v>0.14800000000000002</v>
      </c>
      <c r="F135" s="788"/>
      <c r="G135" s="330">
        <f>SUM(G130:G134)</f>
        <v>461.59073554619113</v>
      </c>
      <c r="H135" s="389"/>
      <c r="I135" s="403">
        <f>SUM(I130:I134)</f>
        <v>477.88987458760909</v>
      </c>
    </row>
    <row r="136" spans="1:9" x14ac:dyDescent="0.2">
      <c r="A136" s="845" t="s">
        <v>1036</v>
      </c>
      <c r="B136" s="846"/>
      <c r="C136" s="846"/>
      <c r="D136" s="846"/>
      <c r="E136" s="846"/>
      <c r="F136" s="846"/>
      <c r="G136" s="846"/>
      <c r="H136" s="877"/>
      <c r="I136" s="878"/>
    </row>
    <row r="137" spans="1:9" x14ac:dyDescent="0.2">
      <c r="A137" s="845" t="s">
        <v>1040</v>
      </c>
      <c r="B137" s="846"/>
      <c r="C137" s="846"/>
      <c r="D137" s="846"/>
      <c r="E137" s="846"/>
      <c r="F137" s="846"/>
      <c r="G137" s="846"/>
      <c r="H137" s="877"/>
      <c r="I137" s="878"/>
    </row>
    <row r="138" spans="1:9" x14ac:dyDescent="0.2">
      <c r="A138" s="135"/>
      <c r="B138" s="769" t="s">
        <v>577</v>
      </c>
      <c r="C138" s="769"/>
      <c r="D138" s="769"/>
      <c r="E138" s="769"/>
      <c r="F138" s="769"/>
      <c r="G138" s="253"/>
      <c r="H138" s="754"/>
      <c r="I138" s="755"/>
    </row>
    <row r="139" spans="1:9" x14ac:dyDescent="0.2">
      <c r="A139" s="68"/>
      <c r="B139" s="791" t="s">
        <v>353</v>
      </c>
      <c r="C139" s="792"/>
      <c r="D139" s="792"/>
      <c r="E139" s="792"/>
      <c r="F139" s="809"/>
      <c r="G139" s="310" t="s">
        <v>354</v>
      </c>
      <c r="H139" s="398"/>
      <c r="I139" s="417" t="s">
        <v>354</v>
      </c>
    </row>
    <row r="140" spans="1:9" x14ac:dyDescent="0.2">
      <c r="A140" s="68" t="s">
        <v>316</v>
      </c>
      <c r="B140" s="844" t="s">
        <v>947</v>
      </c>
      <c r="C140" s="842"/>
      <c r="D140" s="842"/>
      <c r="E140" s="842"/>
      <c r="F140" s="843"/>
      <c r="G140" s="331">
        <f>G35</f>
        <v>1194.8499999999999</v>
      </c>
      <c r="H140" s="399"/>
      <c r="I140" s="418">
        <f>I35</f>
        <v>1239.06</v>
      </c>
    </row>
    <row r="141" spans="1:9" x14ac:dyDescent="0.2">
      <c r="A141" s="68" t="s">
        <v>318</v>
      </c>
      <c r="B141" s="844" t="s">
        <v>948</v>
      </c>
      <c r="C141" s="842"/>
      <c r="D141" s="842"/>
      <c r="E141" s="842"/>
      <c r="F141" s="843"/>
      <c r="G141" s="331">
        <f>G81</f>
        <v>1403.3468432318332</v>
      </c>
      <c r="H141" s="399"/>
      <c r="I141" s="418">
        <f>I81</f>
        <v>1454.2743405104</v>
      </c>
    </row>
    <row r="142" spans="1:9" x14ac:dyDescent="0.2">
      <c r="A142" s="68" t="s">
        <v>321</v>
      </c>
      <c r="B142" s="844" t="s">
        <v>949</v>
      </c>
      <c r="C142" s="842"/>
      <c r="D142" s="842"/>
      <c r="E142" s="842"/>
      <c r="F142" s="843"/>
      <c r="G142" s="331">
        <f>G91</f>
        <v>55.629499472679491</v>
      </c>
      <c r="H142" s="399"/>
      <c r="I142" s="418">
        <f>I91</f>
        <v>57.679183856806532</v>
      </c>
    </row>
    <row r="143" spans="1:9" x14ac:dyDescent="0.2">
      <c r="A143" s="68" t="s">
        <v>322</v>
      </c>
      <c r="B143" s="844" t="s">
        <v>964</v>
      </c>
      <c r="C143" s="842"/>
      <c r="D143" s="842"/>
      <c r="E143" s="842"/>
      <c r="F143" s="843"/>
      <c r="G143" s="331">
        <f>G117</f>
        <v>37.943125555555554</v>
      </c>
      <c r="H143" s="399"/>
      <c r="I143" s="418">
        <f>I117</f>
        <v>39.34703866666667</v>
      </c>
    </row>
    <row r="144" spans="1:9" x14ac:dyDescent="0.2">
      <c r="A144" s="68" t="s">
        <v>333</v>
      </c>
      <c r="B144" s="842" t="s">
        <v>951</v>
      </c>
      <c r="C144" s="842"/>
      <c r="D144" s="842"/>
      <c r="E144" s="842"/>
      <c r="F144" s="843"/>
      <c r="G144" s="331">
        <f>G125</f>
        <v>100.325</v>
      </c>
      <c r="H144" s="399"/>
      <c r="I144" s="418">
        <f>I125</f>
        <v>100.325</v>
      </c>
    </row>
    <row r="145" spans="1:9" x14ac:dyDescent="0.2">
      <c r="A145" s="88"/>
      <c r="B145" s="1008" t="s">
        <v>578</v>
      </c>
      <c r="C145" s="822"/>
      <c r="D145" s="822"/>
      <c r="E145" s="822"/>
      <c r="F145" s="823"/>
      <c r="G145" s="331">
        <f>SUM(G140:G144)</f>
        <v>2792.094468260068</v>
      </c>
      <c r="H145" s="399"/>
      <c r="I145" s="418">
        <f>SUM(I140:I144)</f>
        <v>2890.6855630338728</v>
      </c>
    </row>
    <row r="146" spans="1:9" x14ac:dyDescent="0.2">
      <c r="A146" s="136" t="s">
        <v>334</v>
      </c>
      <c r="B146" s="844" t="s">
        <v>965</v>
      </c>
      <c r="C146" s="842"/>
      <c r="D146" s="842"/>
      <c r="E146" s="842"/>
      <c r="F146" s="843"/>
      <c r="G146" s="331">
        <f>G135</f>
        <v>461.59073554619113</v>
      </c>
      <c r="H146" s="399"/>
      <c r="I146" s="418">
        <f>I135</f>
        <v>477.88987458760909</v>
      </c>
    </row>
    <row r="147" spans="1:9" ht="16.5" thickBot="1" x14ac:dyDescent="0.25">
      <c r="A147" s="89"/>
      <c r="B147" s="766" t="s">
        <v>355</v>
      </c>
      <c r="C147" s="767"/>
      <c r="D147" s="767"/>
      <c r="E147" s="767"/>
      <c r="F147" s="768"/>
      <c r="G147" s="428">
        <f>(G130+G131+G145)/(1-E132)</f>
        <v>3253.6852038062593</v>
      </c>
      <c r="H147" s="429"/>
      <c r="I147" s="430">
        <f>(I130+I131+I145)/(1-E132)</f>
        <v>3368.5754376214818</v>
      </c>
    </row>
  </sheetData>
  <mergeCells count="226">
    <mergeCell ref="H113:I113"/>
    <mergeCell ref="H118:I118"/>
    <mergeCell ref="H126:I126"/>
    <mergeCell ref="H127:I127"/>
    <mergeCell ref="H128:I128"/>
    <mergeCell ref="H136:I136"/>
    <mergeCell ref="H137:I137"/>
    <mergeCell ref="H138:I138"/>
    <mergeCell ref="H119:I119"/>
    <mergeCell ref="H95:I95"/>
    <mergeCell ref="H96:I96"/>
    <mergeCell ref="H105:I105"/>
    <mergeCell ref="H106:I106"/>
    <mergeCell ref="H107:I107"/>
    <mergeCell ref="F110:G110"/>
    <mergeCell ref="H110:I110"/>
    <mergeCell ref="H111:I111"/>
    <mergeCell ref="H112:I112"/>
    <mergeCell ref="A111:G111"/>
    <mergeCell ref="B103:E103"/>
    <mergeCell ref="A105:G105"/>
    <mergeCell ref="A106:G106"/>
    <mergeCell ref="A107:G107"/>
    <mergeCell ref="B104:E104"/>
    <mergeCell ref="B110:E110"/>
    <mergeCell ref="B99:E99"/>
    <mergeCell ref="B100:E100"/>
    <mergeCell ref="B101:E101"/>
    <mergeCell ref="B102:E102"/>
    <mergeCell ref="A95:G95"/>
    <mergeCell ref="A96:G96"/>
    <mergeCell ref="B108:E108"/>
    <mergeCell ref="B109:E109"/>
    <mergeCell ref="H92:I92"/>
    <mergeCell ref="F93:G93"/>
    <mergeCell ref="H93:I93"/>
    <mergeCell ref="H94:I94"/>
    <mergeCell ref="A94:G94"/>
    <mergeCell ref="B76:F76"/>
    <mergeCell ref="B77:F77"/>
    <mergeCell ref="B78:F78"/>
    <mergeCell ref="B91:E91"/>
    <mergeCell ref="B83:E83"/>
    <mergeCell ref="B93:E93"/>
    <mergeCell ref="B81:F81"/>
    <mergeCell ref="B79:F79"/>
    <mergeCell ref="B80:F80"/>
    <mergeCell ref="H61:I61"/>
    <mergeCell ref="H62:I62"/>
    <mergeCell ref="H63:I63"/>
    <mergeCell ref="H73:I73"/>
    <mergeCell ref="H74:I74"/>
    <mergeCell ref="H75:I75"/>
    <mergeCell ref="H76:I76"/>
    <mergeCell ref="H82:I82"/>
    <mergeCell ref="H83:I83"/>
    <mergeCell ref="H38:I38"/>
    <mergeCell ref="H39:I39"/>
    <mergeCell ref="H44:I44"/>
    <mergeCell ref="H45:I45"/>
    <mergeCell ref="H46:I46"/>
    <mergeCell ref="H47:I47"/>
    <mergeCell ref="H48:I48"/>
    <mergeCell ref="H59:I59"/>
    <mergeCell ref="H60:I60"/>
    <mergeCell ref="H5:I9"/>
    <mergeCell ref="H14:I14"/>
    <mergeCell ref="H19:I19"/>
    <mergeCell ref="H20:I20"/>
    <mergeCell ref="H21:I21"/>
    <mergeCell ref="H2:I4"/>
    <mergeCell ref="H27:I27"/>
    <mergeCell ref="H36:I36"/>
    <mergeCell ref="H37:I37"/>
    <mergeCell ref="H23:I23"/>
    <mergeCell ref="H24:I24"/>
    <mergeCell ref="H25:I25"/>
    <mergeCell ref="H26:I26"/>
    <mergeCell ref="H10:I10"/>
    <mergeCell ref="H11:I11"/>
    <mergeCell ref="H12:I12"/>
    <mergeCell ref="H13:I13"/>
    <mergeCell ref="H15:I15"/>
    <mergeCell ref="H16:I16"/>
    <mergeCell ref="H17:I18"/>
    <mergeCell ref="H22:I22"/>
    <mergeCell ref="B147:F147"/>
    <mergeCell ref="E135:F135"/>
    <mergeCell ref="A136:G136"/>
    <mergeCell ref="A137:G137"/>
    <mergeCell ref="B132:D132"/>
    <mergeCell ref="E132:F132"/>
    <mergeCell ref="B133:D133"/>
    <mergeCell ref="E133:F133"/>
    <mergeCell ref="B134:D134"/>
    <mergeCell ref="E134:F134"/>
    <mergeCell ref="B135:D135"/>
    <mergeCell ref="B138:F138"/>
    <mergeCell ref="B145:F145"/>
    <mergeCell ref="B142:F142"/>
    <mergeCell ref="B143:F143"/>
    <mergeCell ref="B144:F144"/>
    <mergeCell ref="B146:F146"/>
    <mergeCell ref="B139:F139"/>
    <mergeCell ref="B140:F140"/>
    <mergeCell ref="B141:F141"/>
    <mergeCell ref="B130:D130"/>
    <mergeCell ref="E130:F130"/>
    <mergeCell ref="B131:D131"/>
    <mergeCell ref="E131:F131"/>
    <mergeCell ref="B123:F123"/>
    <mergeCell ref="B124:F124"/>
    <mergeCell ref="A126:G126"/>
    <mergeCell ref="A127:G127"/>
    <mergeCell ref="B125:F125"/>
    <mergeCell ref="B128:F128"/>
    <mergeCell ref="B122:F122"/>
    <mergeCell ref="A112:G112"/>
    <mergeCell ref="B114:E114"/>
    <mergeCell ref="B115:E115"/>
    <mergeCell ref="B116:E116"/>
    <mergeCell ref="B117:E117"/>
    <mergeCell ref="B113:E113"/>
    <mergeCell ref="B119:F119"/>
    <mergeCell ref="B129:D129"/>
    <mergeCell ref="E129:F129"/>
    <mergeCell ref="F113:G113"/>
    <mergeCell ref="B120:F120"/>
    <mergeCell ref="B121:F121"/>
    <mergeCell ref="B97:E97"/>
    <mergeCell ref="B98:E98"/>
    <mergeCell ref="B87:E87"/>
    <mergeCell ref="B88:E88"/>
    <mergeCell ref="B89:E89"/>
    <mergeCell ref="B90:E90"/>
    <mergeCell ref="A82:G82"/>
    <mergeCell ref="B84:E84"/>
    <mergeCell ref="B85:E85"/>
    <mergeCell ref="B86:E86"/>
    <mergeCell ref="F83:G83"/>
    <mergeCell ref="A74:G74"/>
    <mergeCell ref="A39:G39"/>
    <mergeCell ref="B40:F40"/>
    <mergeCell ref="B41:E41"/>
    <mergeCell ref="B42:E42"/>
    <mergeCell ref="A44:G44"/>
    <mergeCell ref="B57:E57"/>
    <mergeCell ref="B58:E58"/>
    <mergeCell ref="B53:E53"/>
    <mergeCell ref="B64:F64"/>
    <mergeCell ref="B65:F65"/>
    <mergeCell ref="B66:F66"/>
    <mergeCell ref="B67:F67"/>
    <mergeCell ref="B68:F68"/>
    <mergeCell ref="B69:F69"/>
    <mergeCell ref="A59:G59"/>
    <mergeCell ref="A60:G60"/>
    <mergeCell ref="A61:G61"/>
    <mergeCell ref="A63:G63"/>
    <mergeCell ref="B70:F70"/>
    <mergeCell ref="B71:F71"/>
    <mergeCell ref="B72:F72"/>
    <mergeCell ref="A73:G73"/>
    <mergeCell ref="B34:E34"/>
    <mergeCell ref="B35:E35"/>
    <mergeCell ref="A37:G37"/>
    <mergeCell ref="A36:G36"/>
    <mergeCell ref="B43:E43"/>
    <mergeCell ref="B38:E38"/>
    <mergeCell ref="B54:E54"/>
    <mergeCell ref="B55:E55"/>
    <mergeCell ref="B56:E56"/>
    <mergeCell ref="A45:G45"/>
    <mergeCell ref="A48:G48"/>
    <mergeCell ref="B49:E49"/>
    <mergeCell ref="B50:E50"/>
    <mergeCell ref="B51:E51"/>
    <mergeCell ref="A47:G47"/>
    <mergeCell ref="A46:G46"/>
    <mergeCell ref="B52:E52"/>
    <mergeCell ref="F38:G38"/>
    <mergeCell ref="B28:E28"/>
    <mergeCell ref="B29:E29"/>
    <mergeCell ref="B30:E30"/>
    <mergeCell ref="B31:E31"/>
    <mergeCell ref="B32:E32"/>
    <mergeCell ref="B33:E33"/>
    <mergeCell ref="B25:E25"/>
    <mergeCell ref="F25:G25"/>
    <mergeCell ref="B26:E26"/>
    <mergeCell ref="F26:G26"/>
    <mergeCell ref="B27:E27"/>
    <mergeCell ref="F27:G27"/>
    <mergeCell ref="A21:G21"/>
    <mergeCell ref="B22:E22"/>
    <mergeCell ref="F22:G22"/>
    <mergeCell ref="B23:E23"/>
    <mergeCell ref="F23:G23"/>
    <mergeCell ref="B24:E24"/>
    <mergeCell ref="F24:G24"/>
    <mergeCell ref="A16:D16"/>
    <mergeCell ref="F16:G16"/>
    <mergeCell ref="A19:G19"/>
    <mergeCell ref="A20:G20"/>
    <mergeCell ref="A18:E18"/>
    <mergeCell ref="A17:E17"/>
    <mergeCell ref="F17:G18"/>
    <mergeCell ref="A15:D15"/>
    <mergeCell ref="F15:G15"/>
    <mergeCell ref="A9:G9"/>
    <mergeCell ref="B10:E10"/>
    <mergeCell ref="F10:G10"/>
    <mergeCell ref="B11:E11"/>
    <mergeCell ref="F11:G11"/>
    <mergeCell ref="A7:G7"/>
    <mergeCell ref="A8:G8"/>
    <mergeCell ref="A1:G1"/>
    <mergeCell ref="B12:E12"/>
    <mergeCell ref="F12:G12"/>
    <mergeCell ref="B13:E13"/>
    <mergeCell ref="F13:G13"/>
    <mergeCell ref="A14:G14"/>
    <mergeCell ref="A6:G6"/>
    <mergeCell ref="A2:G3"/>
    <mergeCell ref="A4:G4"/>
    <mergeCell ref="A5:G5"/>
  </mergeCells>
  <printOptions horizontalCentered="1"/>
  <pageMargins left="0.53149606299212604" right="0.53149606299212604" top="1.1811023622047245" bottom="0.98425196850393704" header="0" footer="0"/>
  <pageSetup paperSize="9" scale="6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7"/>
  <sheetViews>
    <sheetView view="pageBreakPreview" topLeftCell="A316" zoomScale="110" zoomScaleNormal="120" zoomScaleSheetLayoutView="110" workbookViewId="0">
      <selection activeCell="I9" sqref="I9"/>
    </sheetView>
  </sheetViews>
  <sheetFormatPr defaultRowHeight="15" x14ac:dyDescent="0.25"/>
  <cols>
    <col min="1" max="1" width="6.42578125" style="168" customWidth="1"/>
    <col min="2" max="2" width="69" style="67" customWidth="1"/>
    <col min="3" max="3" width="5.42578125" style="168" customWidth="1"/>
    <col min="4" max="4" width="7.28515625" style="168" customWidth="1"/>
    <col min="5" max="5" width="10.5703125" style="126" bestFit="1" customWidth="1"/>
    <col min="6" max="6" width="13.7109375" style="127" customWidth="1"/>
    <col min="7" max="7" width="9.140625" style="67"/>
    <col min="8" max="8" width="10.7109375" style="67" bestFit="1" customWidth="1"/>
    <col min="9" max="16384" width="9.140625" style="67"/>
  </cols>
  <sheetData>
    <row r="1" spans="1:6" ht="35.25" customHeight="1" x14ac:dyDescent="0.25">
      <c r="A1" s="1061" t="s">
        <v>687</v>
      </c>
      <c r="B1" s="1061"/>
      <c r="C1" s="1061"/>
      <c r="D1" s="1061"/>
      <c r="E1" s="1061"/>
      <c r="F1" s="1061"/>
    </row>
    <row r="2" spans="1:6" x14ac:dyDescent="0.25">
      <c r="A2" s="1061" t="s">
        <v>151</v>
      </c>
      <c r="B2" s="1061" t="s">
        <v>0</v>
      </c>
      <c r="C2" s="1061" t="s">
        <v>435</v>
      </c>
      <c r="D2" s="1061" t="s">
        <v>688</v>
      </c>
      <c r="E2" s="1059" t="s">
        <v>872</v>
      </c>
      <c r="F2" s="1060"/>
    </row>
    <row r="3" spans="1:6" x14ac:dyDescent="0.25">
      <c r="A3" s="1061"/>
      <c r="B3" s="1061"/>
      <c r="C3" s="1061"/>
      <c r="D3" s="1061"/>
      <c r="E3" s="1061" t="s">
        <v>873</v>
      </c>
      <c r="F3" s="1061" t="s">
        <v>352</v>
      </c>
    </row>
    <row r="4" spans="1:6" x14ac:dyDescent="0.25">
      <c r="A4" s="1061"/>
      <c r="B4" s="1061"/>
      <c r="C4" s="1061"/>
      <c r="D4" s="1061"/>
      <c r="E4" s="1061"/>
      <c r="F4" s="1061"/>
    </row>
    <row r="5" spans="1:6" x14ac:dyDescent="0.25">
      <c r="A5" s="1062" t="s">
        <v>115</v>
      </c>
      <c r="B5" s="1062"/>
      <c r="C5" s="1062"/>
      <c r="D5" s="1062"/>
      <c r="E5" s="1062"/>
      <c r="F5" s="1062"/>
    </row>
    <row r="6" spans="1:6" ht="25.5" x14ac:dyDescent="0.25">
      <c r="A6" s="164">
        <v>1</v>
      </c>
      <c r="B6" s="121" t="s">
        <v>689</v>
      </c>
      <c r="C6" s="164" t="s">
        <v>690</v>
      </c>
      <c r="D6" s="164">
        <v>30</v>
      </c>
      <c r="E6" s="122">
        <v>0.6</v>
      </c>
      <c r="F6" s="123">
        <f>TRUNC(D6*E6,2)</f>
        <v>18</v>
      </c>
    </row>
    <row r="7" spans="1:6" x14ac:dyDescent="0.25">
      <c r="A7" s="164">
        <v>2</v>
      </c>
      <c r="B7" s="121" t="s">
        <v>691</v>
      </c>
      <c r="C7" s="164" t="s">
        <v>690</v>
      </c>
      <c r="D7" s="164">
        <v>30</v>
      </c>
      <c r="E7" s="122">
        <v>0.76</v>
      </c>
      <c r="F7" s="123">
        <f>TRUNC(D7*E7,2)</f>
        <v>22.8</v>
      </c>
    </row>
    <row r="8" spans="1:6" x14ac:dyDescent="0.25">
      <c r="A8" s="164">
        <v>3</v>
      </c>
      <c r="B8" s="121" t="s">
        <v>507</v>
      </c>
      <c r="C8" s="164" t="s">
        <v>198</v>
      </c>
      <c r="D8" s="164">
        <v>50</v>
      </c>
      <c r="E8" s="122">
        <v>3.24</v>
      </c>
      <c r="F8" s="123">
        <f t="shared" ref="F8:F71" si="0">TRUNC(D8*E8,2)</f>
        <v>162</v>
      </c>
    </row>
    <row r="9" spans="1:6" x14ac:dyDescent="0.25">
      <c r="A9" s="164">
        <v>4</v>
      </c>
      <c r="B9" s="121" t="s">
        <v>508</v>
      </c>
      <c r="C9" s="164" t="s">
        <v>182</v>
      </c>
      <c r="D9" s="164">
        <v>4</v>
      </c>
      <c r="E9" s="122">
        <v>6.91</v>
      </c>
      <c r="F9" s="123">
        <f t="shared" si="0"/>
        <v>27.64</v>
      </c>
    </row>
    <row r="10" spans="1:6" x14ac:dyDescent="0.25">
      <c r="A10" s="164">
        <v>5</v>
      </c>
      <c r="B10" s="121" t="s">
        <v>212</v>
      </c>
      <c r="C10" s="164" t="s">
        <v>182</v>
      </c>
      <c r="D10" s="164">
        <v>10</v>
      </c>
      <c r="E10" s="122">
        <v>3.18</v>
      </c>
      <c r="F10" s="123">
        <f t="shared" si="0"/>
        <v>31.8</v>
      </c>
    </row>
    <row r="11" spans="1:6" x14ac:dyDescent="0.25">
      <c r="A11" s="164">
        <v>6</v>
      </c>
      <c r="B11" s="121" t="s">
        <v>692</v>
      </c>
      <c r="C11" s="164" t="s">
        <v>182</v>
      </c>
      <c r="D11" s="164">
        <v>5</v>
      </c>
      <c r="E11" s="122">
        <v>6.88</v>
      </c>
      <c r="F11" s="123">
        <f t="shared" si="0"/>
        <v>34.4</v>
      </c>
    </row>
    <row r="12" spans="1:6" x14ac:dyDescent="0.25">
      <c r="A12" s="164">
        <v>7</v>
      </c>
      <c r="B12" s="121" t="s">
        <v>693</v>
      </c>
      <c r="C12" s="164" t="s">
        <v>690</v>
      </c>
      <c r="D12" s="164">
        <v>120</v>
      </c>
      <c r="E12" s="122">
        <v>0.35</v>
      </c>
      <c r="F12" s="123">
        <f t="shared" si="0"/>
        <v>42</v>
      </c>
    </row>
    <row r="13" spans="1:6" x14ac:dyDescent="0.25">
      <c r="A13" s="164">
        <v>8</v>
      </c>
      <c r="B13" s="121" t="s">
        <v>694</v>
      </c>
      <c r="C13" s="164" t="s">
        <v>690</v>
      </c>
      <c r="D13" s="164">
        <v>120</v>
      </c>
      <c r="E13" s="122">
        <v>0.24</v>
      </c>
      <c r="F13" s="123">
        <f t="shared" si="0"/>
        <v>28.8</v>
      </c>
    </row>
    <row r="14" spans="1:6" ht="25.5" x14ac:dyDescent="0.25">
      <c r="A14" s="164">
        <v>9</v>
      </c>
      <c r="B14" s="121" t="s">
        <v>695</v>
      </c>
      <c r="C14" s="164" t="s">
        <v>690</v>
      </c>
      <c r="D14" s="164">
        <v>5</v>
      </c>
      <c r="E14" s="122">
        <v>79.41</v>
      </c>
      <c r="F14" s="123">
        <f t="shared" si="0"/>
        <v>397.05</v>
      </c>
    </row>
    <row r="15" spans="1:6" x14ac:dyDescent="0.25">
      <c r="A15" s="164">
        <v>10</v>
      </c>
      <c r="B15" s="121" t="s">
        <v>696</v>
      </c>
      <c r="C15" s="164" t="s">
        <v>198</v>
      </c>
      <c r="D15" s="164">
        <v>100</v>
      </c>
      <c r="E15" s="122">
        <v>0.79</v>
      </c>
      <c r="F15" s="123">
        <f t="shared" si="0"/>
        <v>79</v>
      </c>
    </row>
    <row r="16" spans="1:6" x14ac:dyDescent="0.25">
      <c r="A16" s="164">
        <v>11</v>
      </c>
      <c r="B16" s="121" t="s">
        <v>697</v>
      </c>
      <c r="C16" s="164" t="s">
        <v>690</v>
      </c>
      <c r="D16" s="164">
        <v>50</v>
      </c>
      <c r="E16" s="122">
        <v>0.44</v>
      </c>
      <c r="F16" s="123">
        <f t="shared" si="0"/>
        <v>22</v>
      </c>
    </row>
    <row r="17" spans="1:6" x14ac:dyDescent="0.25">
      <c r="A17" s="164">
        <v>12</v>
      </c>
      <c r="B17" s="121" t="s">
        <v>698</v>
      </c>
      <c r="C17" s="164" t="s">
        <v>690</v>
      </c>
      <c r="D17" s="164">
        <v>50</v>
      </c>
      <c r="E17" s="122">
        <v>0.24</v>
      </c>
      <c r="F17" s="123">
        <f t="shared" si="0"/>
        <v>12</v>
      </c>
    </row>
    <row r="18" spans="1:6" x14ac:dyDescent="0.25">
      <c r="A18" s="164">
        <v>13</v>
      </c>
      <c r="B18" s="121" t="s">
        <v>699</v>
      </c>
      <c r="C18" s="164" t="s">
        <v>690</v>
      </c>
      <c r="D18" s="164">
        <v>50</v>
      </c>
      <c r="E18" s="122">
        <v>1.1499999999999999</v>
      </c>
      <c r="F18" s="123">
        <f t="shared" si="0"/>
        <v>57.5</v>
      </c>
    </row>
    <row r="19" spans="1:6" x14ac:dyDescent="0.25">
      <c r="A19" s="164">
        <v>14</v>
      </c>
      <c r="B19" s="121" t="s">
        <v>700</v>
      </c>
      <c r="C19" s="164" t="s">
        <v>690</v>
      </c>
      <c r="D19" s="164">
        <v>50</v>
      </c>
      <c r="E19" s="122">
        <v>1.64</v>
      </c>
      <c r="F19" s="123">
        <f t="shared" si="0"/>
        <v>82</v>
      </c>
    </row>
    <row r="20" spans="1:6" ht="25.5" x14ac:dyDescent="0.25">
      <c r="A20" s="164">
        <v>15</v>
      </c>
      <c r="B20" s="121" t="s">
        <v>701</v>
      </c>
      <c r="C20" s="164" t="s">
        <v>690</v>
      </c>
      <c r="D20" s="164">
        <v>50</v>
      </c>
      <c r="E20" s="122">
        <v>4.29</v>
      </c>
      <c r="F20" s="123">
        <f t="shared" si="0"/>
        <v>214.5</v>
      </c>
    </row>
    <row r="21" spans="1:6" x14ac:dyDescent="0.25">
      <c r="A21" s="164">
        <v>16</v>
      </c>
      <c r="B21" s="121" t="s">
        <v>702</v>
      </c>
      <c r="C21" s="164" t="s">
        <v>690</v>
      </c>
      <c r="D21" s="164">
        <v>8</v>
      </c>
      <c r="E21" s="122">
        <v>299.67</v>
      </c>
      <c r="F21" s="123">
        <f t="shared" si="0"/>
        <v>2397.36</v>
      </c>
    </row>
    <row r="22" spans="1:6" x14ac:dyDescent="0.25">
      <c r="A22" s="164">
        <v>17</v>
      </c>
      <c r="B22" s="114" t="s">
        <v>703</v>
      </c>
      <c r="C22" s="164" t="s">
        <v>690</v>
      </c>
      <c r="D22" s="165">
        <v>5</v>
      </c>
      <c r="E22" s="122">
        <v>28.03</v>
      </c>
      <c r="F22" s="123">
        <f t="shared" si="0"/>
        <v>140.15</v>
      </c>
    </row>
    <row r="23" spans="1:6" x14ac:dyDescent="0.25">
      <c r="A23" s="164">
        <v>18</v>
      </c>
      <c r="B23" s="121" t="s">
        <v>704</v>
      </c>
      <c r="C23" s="164" t="s">
        <v>690</v>
      </c>
      <c r="D23" s="165">
        <v>10</v>
      </c>
      <c r="E23" s="122">
        <v>28.47</v>
      </c>
      <c r="F23" s="123">
        <f t="shared" si="0"/>
        <v>284.7</v>
      </c>
    </row>
    <row r="24" spans="1:6" ht="25.5" x14ac:dyDescent="0.25">
      <c r="A24" s="164">
        <v>19</v>
      </c>
      <c r="B24" s="121" t="s">
        <v>705</v>
      </c>
      <c r="C24" s="164" t="s">
        <v>91</v>
      </c>
      <c r="D24" s="164">
        <v>20</v>
      </c>
      <c r="E24" s="122">
        <v>4.08</v>
      </c>
      <c r="F24" s="123">
        <f t="shared" si="0"/>
        <v>81.599999999999994</v>
      </c>
    </row>
    <row r="25" spans="1:6" ht="25.5" x14ac:dyDescent="0.25">
      <c r="A25" s="164">
        <v>20</v>
      </c>
      <c r="B25" s="114" t="s">
        <v>706</v>
      </c>
      <c r="C25" s="164" t="s">
        <v>91</v>
      </c>
      <c r="D25" s="164">
        <v>20</v>
      </c>
      <c r="E25" s="122">
        <v>1.04</v>
      </c>
      <c r="F25" s="123">
        <f t="shared" si="0"/>
        <v>20.8</v>
      </c>
    </row>
    <row r="26" spans="1:6" x14ac:dyDescent="0.25">
      <c r="A26" s="164">
        <v>21</v>
      </c>
      <c r="B26" s="114" t="s">
        <v>707</v>
      </c>
      <c r="C26" s="164" t="s">
        <v>91</v>
      </c>
      <c r="D26" s="164">
        <v>8</v>
      </c>
      <c r="E26" s="122">
        <v>4.29</v>
      </c>
      <c r="F26" s="123">
        <f t="shared" si="0"/>
        <v>34.32</v>
      </c>
    </row>
    <row r="27" spans="1:6" x14ac:dyDescent="0.25">
      <c r="A27" s="164">
        <v>22</v>
      </c>
      <c r="B27" s="114" t="s">
        <v>708</v>
      </c>
      <c r="C27" s="164" t="s">
        <v>91</v>
      </c>
      <c r="D27" s="166">
        <v>8</v>
      </c>
      <c r="E27" s="122">
        <v>5.81</v>
      </c>
      <c r="F27" s="123">
        <f t="shared" si="0"/>
        <v>46.48</v>
      </c>
    </row>
    <row r="28" spans="1:6" x14ac:dyDescent="0.25">
      <c r="A28" s="164">
        <v>23</v>
      </c>
      <c r="B28" s="114" t="s">
        <v>709</v>
      </c>
      <c r="C28" s="164" t="s">
        <v>91</v>
      </c>
      <c r="D28" s="164">
        <v>8</v>
      </c>
      <c r="E28" s="122">
        <v>0.9</v>
      </c>
      <c r="F28" s="123">
        <f t="shared" si="0"/>
        <v>7.2</v>
      </c>
    </row>
    <row r="29" spans="1:6" x14ac:dyDescent="0.25">
      <c r="A29" s="164">
        <v>24</v>
      </c>
      <c r="B29" s="121" t="s">
        <v>710</v>
      </c>
      <c r="C29" s="164" t="s">
        <v>91</v>
      </c>
      <c r="D29" s="164">
        <v>8</v>
      </c>
      <c r="E29" s="122">
        <v>3.06</v>
      </c>
      <c r="F29" s="123">
        <f t="shared" si="0"/>
        <v>24.48</v>
      </c>
    </row>
    <row r="30" spans="1:6" x14ac:dyDescent="0.25">
      <c r="A30" s="164">
        <v>25</v>
      </c>
      <c r="B30" s="121" t="s">
        <v>711</v>
      </c>
      <c r="C30" s="164" t="s">
        <v>91</v>
      </c>
      <c r="D30" s="164">
        <v>8</v>
      </c>
      <c r="E30" s="122">
        <v>1.06</v>
      </c>
      <c r="F30" s="123">
        <f t="shared" si="0"/>
        <v>8.48</v>
      </c>
    </row>
    <row r="31" spans="1:6" x14ac:dyDescent="0.25">
      <c r="A31" s="164">
        <v>26</v>
      </c>
      <c r="B31" s="121" t="s">
        <v>712</v>
      </c>
      <c r="C31" s="164" t="s">
        <v>91</v>
      </c>
      <c r="D31" s="164">
        <v>8</v>
      </c>
      <c r="E31" s="122">
        <v>7.89</v>
      </c>
      <c r="F31" s="123">
        <f t="shared" si="0"/>
        <v>63.12</v>
      </c>
    </row>
    <row r="32" spans="1:6" x14ac:dyDescent="0.25">
      <c r="A32" s="164">
        <v>27</v>
      </c>
      <c r="B32" s="121" t="s">
        <v>713</v>
      </c>
      <c r="C32" s="164" t="s">
        <v>91</v>
      </c>
      <c r="D32" s="164">
        <v>8</v>
      </c>
      <c r="E32" s="122">
        <v>0.75</v>
      </c>
      <c r="F32" s="123">
        <f t="shared" si="0"/>
        <v>6</v>
      </c>
    </row>
    <row r="33" spans="1:6" x14ac:dyDescent="0.25">
      <c r="A33" s="164">
        <v>28</v>
      </c>
      <c r="B33" s="121" t="s">
        <v>461</v>
      </c>
      <c r="C33" s="164" t="s">
        <v>91</v>
      </c>
      <c r="D33" s="167">
        <v>500</v>
      </c>
      <c r="E33" s="122">
        <v>0.15</v>
      </c>
      <c r="F33" s="123">
        <f t="shared" si="0"/>
        <v>75</v>
      </c>
    </row>
    <row r="34" spans="1:6" x14ac:dyDescent="0.25">
      <c r="A34" s="164">
        <v>29</v>
      </c>
      <c r="B34" s="121" t="s">
        <v>462</v>
      </c>
      <c r="C34" s="164" t="s">
        <v>91</v>
      </c>
      <c r="D34" s="167">
        <v>500</v>
      </c>
      <c r="E34" s="122">
        <v>0.3</v>
      </c>
      <c r="F34" s="123">
        <f t="shared" si="0"/>
        <v>150</v>
      </c>
    </row>
    <row r="35" spans="1:6" ht="27.75" x14ac:dyDescent="0.25">
      <c r="A35" s="164">
        <v>30</v>
      </c>
      <c r="B35" s="121" t="s">
        <v>955</v>
      </c>
      <c r="C35" s="164" t="s">
        <v>92</v>
      </c>
      <c r="D35" s="167">
        <v>1000</v>
      </c>
      <c r="E35" s="122">
        <v>0.78</v>
      </c>
      <c r="F35" s="123">
        <f t="shared" si="0"/>
        <v>780</v>
      </c>
    </row>
    <row r="36" spans="1:6" x14ac:dyDescent="0.25">
      <c r="A36" s="164">
        <v>31</v>
      </c>
      <c r="B36" s="121" t="s">
        <v>956</v>
      </c>
      <c r="C36" s="164" t="s">
        <v>92</v>
      </c>
      <c r="D36" s="167">
        <v>1000</v>
      </c>
      <c r="E36" s="122">
        <v>0.78</v>
      </c>
      <c r="F36" s="123">
        <f t="shared" si="0"/>
        <v>780</v>
      </c>
    </row>
    <row r="37" spans="1:6" ht="27.75" x14ac:dyDescent="0.25">
      <c r="A37" s="164">
        <v>32</v>
      </c>
      <c r="B37" s="121" t="s">
        <v>957</v>
      </c>
      <c r="C37" s="164" t="s">
        <v>92</v>
      </c>
      <c r="D37" s="167">
        <v>1000</v>
      </c>
      <c r="E37" s="122">
        <v>0.78</v>
      </c>
      <c r="F37" s="123">
        <f t="shared" si="0"/>
        <v>780</v>
      </c>
    </row>
    <row r="38" spans="1:6" ht="27.75" x14ac:dyDescent="0.25">
      <c r="A38" s="164">
        <v>33</v>
      </c>
      <c r="B38" s="121" t="s">
        <v>958</v>
      </c>
      <c r="C38" s="164" t="s">
        <v>92</v>
      </c>
      <c r="D38" s="167">
        <v>1000</v>
      </c>
      <c r="E38" s="122">
        <v>0.78</v>
      </c>
      <c r="F38" s="123">
        <f t="shared" si="0"/>
        <v>780</v>
      </c>
    </row>
    <row r="39" spans="1:6" ht="27.75" x14ac:dyDescent="0.25">
      <c r="A39" s="164">
        <v>34</v>
      </c>
      <c r="B39" s="121" t="s">
        <v>959</v>
      </c>
      <c r="C39" s="164" t="s">
        <v>92</v>
      </c>
      <c r="D39" s="167">
        <v>2000</v>
      </c>
      <c r="E39" s="122">
        <v>1.41</v>
      </c>
      <c r="F39" s="123">
        <f t="shared" si="0"/>
        <v>2820</v>
      </c>
    </row>
    <row r="40" spans="1:6" x14ac:dyDescent="0.25">
      <c r="A40" s="164">
        <v>35</v>
      </c>
      <c r="B40" s="121" t="s">
        <v>960</v>
      </c>
      <c r="C40" s="164" t="s">
        <v>92</v>
      </c>
      <c r="D40" s="167">
        <v>2000</v>
      </c>
      <c r="E40" s="122">
        <v>1.41</v>
      </c>
      <c r="F40" s="123">
        <f t="shared" si="0"/>
        <v>2820</v>
      </c>
    </row>
    <row r="41" spans="1:6" ht="27.75" x14ac:dyDescent="0.25">
      <c r="A41" s="164">
        <v>36</v>
      </c>
      <c r="B41" s="121" t="s">
        <v>961</v>
      </c>
      <c r="C41" s="164" t="s">
        <v>92</v>
      </c>
      <c r="D41" s="167">
        <v>2000</v>
      </c>
      <c r="E41" s="122">
        <v>1.41</v>
      </c>
      <c r="F41" s="123">
        <f t="shared" si="0"/>
        <v>2820</v>
      </c>
    </row>
    <row r="42" spans="1:6" ht="27.75" x14ac:dyDescent="0.25">
      <c r="A42" s="164">
        <v>37</v>
      </c>
      <c r="B42" s="121" t="s">
        <v>962</v>
      </c>
      <c r="C42" s="164" t="s">
        <v>92</v>
      </c>
      <c r="D42" s="167">
        <v>2000</v>
      </c>
      <c r="E42" s="122">
        <v>1.41</v>
      </c>
      <c r="F42" s="123">
        <f t="shared" si="0"/>
        <v>2820</v>
      </c>
    </row>
    <row r="43" spans="1:6" x14ac:dyDescent="0.25">
      <c r="A43" s="164">
        <v>38</v>
      </c>
      <c r="B43" s="121" t="s">
        <v>714</v>
      </c>
      <c r="C43" s="164" t="s">
        <v>92</v>
      </c>
      <c r="D43" s="164">
        <v>500</v>
      </c>
      <c r="E43" s="122">
        <v>1.98</v>
      </c>
      <c r="F43" s="123">
        <f t="shared" si="0"/>
        <v>990</v>
      </c>
    </row>
    <row r="44" spans="1:6" x14ac:dyDescent="0.25">
      <c r="A44" s="164">
        <v>39</v>
      </c>
      <c r="B44" s="121" t="s">
        <v>715</v>
      </c>
      <c r="C44" s="164" t="s">
        <v>92</v>
      </c>
      <c r="D44" s="164">
        <v>500</v>
      </c>
      <c r="E44" s="122">
        <v>1.98</v>
      </c>
      <c r="F44" s="123">
        <f t="shared" si="0"/>
        <v>990</v>
      </c>
    </row>
    <row r="45" spans="1:6" x14ac:dyDescent="0.25">
      <c r="A45" s="164">
        <v>40</v>
      </c>
      <c r="B45" s="121" t="s">
        <v>716</v>
      </c>
      <c r="C45" s="164" t="s">
        <v>92</v>
      </c>
      <c r="D45" s="164">
        <v>500</v>
      </c>
      <c r="E45" s="122">
        <v>1.98</v>
      </c>
      <c r="F45" s="123">
        <f t="shared" si="0"/>
        <v>990</v>
      </c>
    </row>
    <row r="46" spans="1:6" ht="25.5" x14ac:dyDescent="0.25">
      <c r="A46" s="164">
        <v>41</v>
      </c>
      <c r="B46" s="121" t="s">
        <v>473</v>
      </c>
      <c r="C46" s="164" t="s">
        <v>92</v>
      </c>
      <c r="D46" s="164">
        <v>500</v>
      </c>
      <c r="E46" s="122">
        <v>3.2</v>
      </c>
      <c r="F46" s="123">
        <f t="shared" si="0"/>
        <v>1600</v>
      </c>
    </row>
    <row r="47" spans="1:6" ht="25.5" x14ac:dyDescent="0.25">
      <c r="A47" s="164">
        <v>42</v>
      </c>
      <c r="B47" s="121" t="s">
        <v>717</v>
      </c>
      <c r="C47" s="164" t="s">
        <v>92</v>
      </c>
      <c r="D47" s="164">
        <v>500</v>
      </c>
      <c r="E47" s="122">
        <v>4.87</v>
      </c>
      <c r="F47" s="123">
        <f t="shared" si="0"/>
        <v>2435</v>
      </c>
    </row>
    <row r="48" spans="1:6" x14ac:dyDescent="0.25">
      <c r="A48" s="164">
        <v>43</v>
      </c>
      <c r="B48" s="121" t="s">
        <v>718</v>
      </c>
      <c r="C48" s="164" t="s">
        <v>92</v>
      </c>
      <c r="D48" s="164">
        <v>300</v>
      </c>
      <c r="E48" s="122">
        <v>1.18</v>
      </c>
      <c r="F48" s="123">
        <f t="shared" si="0"/>
        <v>354</v>
      </c>
    </row>
    <row r="49" spans="1:6" x14ac:dyDescent="0.25">
      <c r="A49" s="164">
        <v>44</v>
      </c>
      <c r="B49" s="121" t="s">
        <v>719</v>
      </c>
      <c r="C49" s="164" t="s">
        <v>91</v>
      </c>
      <c r="D49" s="164">
        <v>10</v>
      </c>
      <c r="E49" s="122">
        <v>10.119999999999999</v>
      </c>
      <c r="F49" s="123">
        <f t="shared" si="0"/>
        <v>101.2</v>
      </c>
    </row>
    <row r="50" spans="1:6" x14ac:dyDescent="0.25">
      <c r="A50" s="164">
        <v>45</v>
      </c>
      <c r="B50" s="121" t="s">
        <v>107</v>
      </c>
      <c r="C50" s="164" t="s">
        <v>91</v>
      </c>
      <c r="D50" s="164">
        <v>10</v>
      </c>
      <c r="E50" s="122">
        <v>11.28</v>
      </c>
      <c r="F50" s="123">
        <f t="shared" si="0"/>
        <v>112.8</v>
      </c>
    </row>
    <row r="51" spans="1:6" x14ac:dyDescent="0.25">
      <c r="A51" s="164">
        <v>46</v>
      </c>
      <c r="B51" s="121" t="s">
        <v>720</v>
      </c>
      <c r="C51" s="164" t="s">
        <v>91</v>
      </c>
      <c r="D51" s="164">
        <v>20</v>
      </c>
      <c r="E51" s="122">
        <v>120.03</v>
      </c>
      <c r="F51" s="123">
        <f t="shared" si="0"/>
        <v>2400.6</v>
      </c>
    </row>
    <row r="52" spans="1:6" ht="25.5" x14ac:dyDescent="0.25">
      <c r="A52" s="164">
        <v>47</v>
      </c>
      <c r="B52" s="121" t="s">
        <v>721</v>
      </c>
      <c r="C52" s="164" t="s">
        <v>91</v>
      </c>
      <c r="D52" s="164">
        <v>10</v>
      </c>
      <c r="E52" s="122">
        <v>15.12</v>
      </c>
      <c r="F52" s="123">
        <f t="shared" si="0"/>
        <v>151.19999999999999</v>
      </c>
    </row>
    <row r="53" spans="1:6" x14ac:dyDescent="0.25">
      <c r="A53" s="164">
        <v>48</v>
      </c>
      <c r="B53" s="121" t="s">
        <v>722</v>
      </c>
      <c r="C53" s="164" t="s">
        <v>91</v>
      </c>
      <c r="D53" s="164">
        <v>5</v>
      </c>
      <c r="E53" s="122">
        <v>11.42</v>
      </c>
      <c r="F53" s="123">
        <f t="shared" si="0"/>
        <v>57.1</v>
      </c>
    </row>
    <row r="54" spans="1:6" x14ac:dyDescent="0.25">
      <c r="A54" s="164">
        <v>49</v>
      </c>
      <c r="B54" s="121" t="s">
        <v>723</v>
      </c>
      <c r="C54" s="164" t="s">
        <v>724</v>
      </c>
      <c r="D54" s="164">
        <v>10</v>
      </c>
      <c r="E54" s="122">
        <v>16.63</v>
      </c>
      <c r="F54" s="123">
        <f t="shared" si="0"/>
        <v>166.3</v>
      </c>
    </row>
    <row r="55" spans="1:6" x14ac:dyDescent="0.25">
      <c r="A55" s="164">
        <v>50</v>
      </c>
      <c r="B55" s="121" t="s">
        <v>189</v>
      </c>
      <c r="C55" s="164" t="s">
        <v>91</v>
      </c>
      <c r="D55" s="164">
        <v>20</v>
      </c>
      <c r="E55" s="122">
        <v>9.82</v>
      </c>
      <c r="F55" s="123">
        <f t="shared" si="0"/>
        <v>196.4</v>
      </c>
    </row>
    <row r="56" spans="1:6" x14ac:dyDescent="0.25">
      <c r="A56" s="164">
        <v>51</v>
      </c>
      <c r="B56" s="121" t="s">
        <v>725</v>
      </c>
      <c r="C56" s="164" t="s">
        <v>91</v>
      </c>
      <c r="D56" s="164">
        <v>20</v>
      </c>
      <c r="E56" s="122">
        <v>4.5599999999999996</v>
      </c>
      <c r="F56" s="123">
        <f t="shared" si="0"/>
        <v>91.2</v>
      </c>
    </row>
    <row r="57" spans="1:6" x14ac:dyDescent="0.25">
      <c r="A57" s="164">
        <v>52</v>
      </c>
      <c r="B57" s="121" t="s">
        <v>6</v>
      </c>
      <c r="C57" s="164" t="s">
        <v>91</v>
      </c>
      <c r="D57" s="164">
        <v>30</v>
      </c>
      <c r="E57" s="122">
        <v>0.45</v>
      </c>
      <c r="F57" s="123">
        <f t="shared" si="0"/>
        <v>13.5</v>
      </c>
    </row>
    <row r="58" spans="1:6" x14ac:dyDescent="0.25">
      <c r="A58" s="164">
        <v>53</v>
      </c>
      <c r="B58" s="121" t="s">
        <v>726</v>
      </c>
      <c r="C58" s="164" t="s">
        <v>91</v>
      </c>
      <c r="D58" s="164">
        <v>30</v>
      </c>
      <c r="E58" s="122">
        <v>0.59</v>
      </c>
      <c r="F58" s="123">
        <f t="shared" si="0"/>
        <v>17.7</v>
      </c>
    </row>
    <row r="59" spans="1:6" x14ac:dyDescent="0.25">
      <c r="A59" s="164">
        <v>54</v>
      </c>
      <c r="B59" s="121" t="s">
        <v>727</v>
      </c>
      <c r="C59" s="164" t="str">
        <f>C60</f>
        <v>un.</v>
      </c>
      <c r="D59" s="164">
        <v>20</v>
      </c>
      <c r="E59" s="122">
        <v>16.46</v>
      </c>
      <c r="F59" s="123">
        <f t="shared" si="0"/>
        <v>329.2</v>
      </c>
    </row>
    <row r="60" spans="1:6" x14ac:dyDescent="0.25">
      <c r="A60" s="164">
        <v>55</v>
      </c>
      <c r="B60" s="121" t="s">
        <v>728</v>
      </c>
      <c r="C60" s="164" t="str">
        <f>C61</f>
        <v>un.</v>
      </c>
      <c r="D60" s="164">
        <v>20</v>
      </c>
      <c r="E60" s="122">
        <v>14.23</v>
      </c>
      <c r="F60" s="123">
        <f t="shared" si="0"/>
        <v>284.60000000000002</v>
      </c>
    </row>
    <row r="61" spans="1:6" x14ac:dyDescent="0.25">
      <c r="A61" s="164">
        <v>56</v>
      </c>
      <c r="B61" s="121" t="s">
        <v>729</v>
      </c>
      <c r="C61" s="164" t="str">
        <f>C62</f>
        <v>un.</v>
      </c>
      <c r="D61" s="164">
        <v>20</v>
      </c>
      <c r="E61" s="122">
        <v>5.37</v>
      </c>
      <c r="F61" s="123">
        <f t="shared" si="0"/>
        <v>107.4</v>
      </c>
    </row>
    <row r="62" spans="1:6" x14ac:dyDescent="0.25">
      <c r="A62" s="164">
        <v>57</v>
      </c>
      <c r="B62" s="121" t="s">
        <v>730</v>
      </c>
      <c r="C62" s="164" t="str">
        <f>C63</f>
        <v>un.</v>
      </c>
      <c r="D62" s="164">
        <v>20</v>
      </c>
      <c r="E62" s="122">
        <v>5.19</v>
      </c>
      <c r="F62" s="123">
        <f t="shared" si="0"/>
        <v>103.8</v>
      </c>
    </row>
    <row r="63" spans="1:6" x14ac:dyDescent="0.25">
      <c r="A63" s="164">
        <v>58</v>
      </c>
      <c r="B63" s="121" t="s">
        <v>731</v>
      </c>
      <c r="C63" s="164" t="s">
        <v>91</v>
      </c>
      <c r="D63" s="164">
        <v>6</v>
      </c>
      <c r="E63" s="122">
        <v>91.03</v>
      </c>
      <c r="F63" s="123">
        <f t="shared" si="0"/>
        <v>546.17999999999995</v>
      </c>
    </row>
    <row r="64" spans="1:6" x14ac:dyDescent="0.25">
      <c r="A64" s="164">
        <v>59</v>
      </c>
      <c r="B64" s="121" t="s">
        <v>732</v>
      </c>
      <c r="C64" s="164" t="str">
        <f>C65</f>
        <v>un</v>
      </c>
      <c r="D64" s="164">
        <v>10</v>
      </c>
      <c r="E64" s="122">
        <v>25.49</v>
      </c>
      <c r="F64" s="123">
        <f t="shared" si="0"/>
        <v>254.9</v>
      </c>
    </row>
    <row r="65" spans="1:6" x14ac:dyDescent="0.25">
      <c r="A65" s="164">
        <v>60</v>
      </c>
      <c r="B65" s="121" t="s">
        <v>207</v>
      </c>
      <c r="C65" s="164" t="s">
        <v>192</v>
      </c>
      <c r="D65" s="164">
        <v>3</v>
      </c>
      <c r="E65" s="122">
        <v>1.68</v>
      </c>
      <c r="F65" s="123">
        <f t="shared" si="0"/>
        <v>5.04</v>
      </c>
    </row>
    <row r="66" spans="1:6" x14ac:dyDescent="0.25">
      <c r="A66" s="164">
        <v>61</v>
      </c>
      <c r="B66" s="121" t="s">
        <v>509</v>
      </c>
      <c r="C66" s="164" t="s">
        <v>192</v>
      </c>
      <c r="D66" s="164">
        <v>3</v>
      </c>
      <c r="E66" s="122">
        <v>8.25</v>
      </c>
      <c r="F66" s="123">
        <f t="shared" si="0"/>
        <v>24.75</v>
      </c>
    </row>
    <row r="67" spans="1:6" x14ac:dyDescent="0.25">
      <c r="A67" s="164">
        <v>62</v>
      </c>
      <c r="B67" s="121" t="s">
        <v>733</v>
      </c>
      <c r="C67" s="164" t="s">
        <v>734</v>
      </c>
      <c r="D67" s="164">
        <v>4</v>
      </c>
      <c r="E67" s="122">
        <v>2.84</v>
      </c>
      <c r="F67" s="123">
        <f t="shared" si="0"/>
        <v>11.36</v>
      </c>
    </row>
    <row r="68" spans="1:6" x14ac:dyDescent="0.25">
      <c r="A68" s="164">
        <v>63</v>
      </c>
      <c r="B68" s="121" t="s">
        <v>194</v>
      </c>
      <c r="C68" s="164" t="s">
        <v>91</v>
      </c>
      <c r="D68" s="164">
        <v>24</v>
      </c>
      <c r="E68" s="122">
        <v>1.82</v>
      </c>
      <c r="F68" s="123">
        <f t="shared" si="0"/>
        <v>43.68</v>
      </c>
    </row>
    <row r="69" spans="1:6" x14ac:dyDescent="0.25">
      <c r="A69" s="164">
        <v>64</v>
      </c>
      <c r="B69" s="121" t="s">
        <v>735</v>
      </c>
      <c r="C69" s="164" t="s">
        <v>91</v>
      </c>
      <c r="D69" s="164">
        <v>5</v>
      </c>
      <c r="E69" s="122">
        <v>11.69</v>
      </c>
      <c r="F69" s="123">
        <f t="shared" si="0"/>
        <v>58.45</v>
      </c>
    </row>
    <row r="70" spans="1:6" x14ac:dyDescent="0.25">
      <c r="A70" s="164">
        <v>65</v>
      </c>
      <c r="B70" s="121" t="s">
        <v>52</v>
      </c>
      <c r="C70" s="164" t="s">
        <v>91</v>
      </c>
      <c r="D70" s="164">
        <v>50</v>
      </c>
      <c r="E70" s="122">
        <v>6.36</v>
      </c>
      <c r="F70" s="123">
        <f t="shared" si="0"/>
        <v>318</v>
      </c>
    </row>
    <row r="71" spans="1:6" x14ac:dyDescent="0.25">
      <c r="A71" s="164">
        <v>66</v>
      </c>
      <c r="B71" s="121" t="s">
        <v>57</v>
      </c>
      <c r="C71" s="164" t="s">
        <v>91</v>
      </c>
      <c r="D71" s="164">
        <v>5</v>
      </c>
      <c r="E71" s="122">
        <v>44.73</v>
      </c>
      <c r="F71" s="123">
        <f t="shared" si="0"/>
        <v>223.65</v>
      </c>
    </row>
    <row r="72" spans="1:6" x14ac:dyDescent="0.25">
      <c r="A72" s="164">
        <v>67</v>
      </c>
      <c r="B72" s="121" t="s">
        <v>58</v>
      </c>
      <c r="C72" s="164" t="s">
        <v>91</v>
      </c>
      <c r="D72" s="164">
        <v>5</v>
      </c>
      <c r="E72" s="122">
        <v>44.73</v>
      </c>
      <c r="F72" s="123">
        <f t="shared" ref="F72:F135" si="1">TRUNC(D72*E72,2)</f>
        <v>223.65</v>
      </c>
    </row>
    <row r="73" spans="1:6" x14ac:dyDescent="0.25">
      <c r="A73" s="164">
        <v>68</v>
      </c>
      <c r="B73" s="121" t="s">
        <v>56</v>
      </c>
      <c r="C73" s="164" t="s">
        <v>91</v>
      </c>
      <c r="D73" s="164">
        <v>10</v>
      </c>
      <c r="E73" s="122">
        <v>78.02</v>
      </c>
      <c r="F73" s="123">
        <f t="shared" si="1"/>
        <v>780.2</v>
      </c>
    </row>
    <row r="74" spans="1:6" x14ac:dyDescent="0.25">
      <c r="A74" s="164">
        <v>69</v>
      </c>
      <c r="B74" s="121" t="s">
        <v>53</v>
      </c>
      <c r="C74" s="164" t="s">
        <v>91</v>
      </c>
      <c r="D74" s="164">
        <v>20</v>
      </c>
      <c r="E74" s="122">
        <v>8.25</v>
      </c>
      <c r="F74" s="123">
        <f t="shared" si="1"/>
        <v>165</v>
      </c>
    </row>
    <row r="75" spans="1:6" x14ac:dyDescent="0.25">
      <c r="A75" s="164">
        <v>70</v>
      </c>
      <c r="B75" s="121" t="s">
        <v>54</v>
      </c>
      <c r="C75" s="164" t="s">
        <v>91</v>
      </c>
      <c r="D75" s="164">
        <v>20</v>
      </c>
      <c r="E75" s="122">
        <v>8.25</v>
      </c>
      <c r="F75" s="123">
        <f t="shared" si="1"/>
        <v>165</v>
      </c>
    </row>
    <row r="76" spans="1:6" x14ac:dyDescent="0.25">
      <c r="A76" s="164">
        <v>71</v>
      </c>
      <c r="B76" s="121" t="s">
        <v>55</v>
      </c>
      <c r="C76" s="164" t="s">
        <v>91</v>
      </c>
      <c r="D76" s="164">
        <v>20</v>
      </c>
      <c r="E76" s="122">
        <v>13.83</v>
      </c>
      <c r="F76" s="123">
        <f t="shared" si="1"/>
        <v>276.60000000000002</v>
      </c>
    </row>
    <row r="77" spans="1:6" x14ac:dyDescent="0.25">
      <c r="A77" s="164">
        <v>72</v>
      </c>
      <c r="B77" s="121" t="s">
        <v>736</v>
      </c>
      <c r="C77" s="164" t="s">
        <v>91</v>
      </c>
      <c r="D77" s="164">
        <v>20</v>
      </c>
      <c r="E77" s="122">
        <v>3.35</v>
      </c>
      <c r="F77" s="123">
        <f t="shared" si="1"/>
        <v>67</v>
      </c>
    </row>
    <row r="78" spans="1:6" x14ac:dyDescent="0.25">
      <c r="A78" s="164">
        <v>73</v>
      </c>
      <c r="B78" s="121" t="s">
        <v>737</v>
      </c>
      <c r="C78" s="164" t="s">
        <v>91</v>
      </c>
      <c r="D78" s="164">
        <v>72</v>
      </c>
      <c r="E78" s="122">
        <v>11.34</v>
      </c>
      <c r="F78" s="123">
        <f t="shared" si="1"/>
        <v>816.48</v>
      </c>
    </row>
    <row r="79" spans="1:6" x14ac:dyDescent="0.25">
      <c r="A79" s="164">
        <v>74</v>
      </c>
      <c r="B79" s="121" t="s">
        <v>460</v>
      </c>
      <c r="C79" s="164" t="s">
        <v>91</v>
      </c>
      <c r="D79" s="164">
        <v>10</v>
      </c>
      <c r="E79" s="122">
        <v>4.67</v>
      </c>
      <c r="F79" s="123">
        <f t="shared" si="1"/>
        <v>46.7</v>
      </c>
    </row>
    <row r="80" spans="1:6" x14ac:dyDescent="0.25">
      <c r="A80" s="164">
        <v>75</v>
      </c>
      <c r="B80" s="121" t="s">
        <v>738</v>
      </c>
      <c r="C80" s="164" t="s">
        <v>91</v>
      </c>
      <c r="D80" s="164">
        <v>100</v>
      </c>
      <c r="E80" s="122">
        <v>1.56</v>
      </c>
      <c r="F80" s="123">
        <f t="shared" si="1"/>
        <v>156</v>
      </c>
    </row>
    <row r="81" spans="1:6" x14ac:dyDescent="0.25">
      <c r="A81" s="164">
        <v>76</v>
      </c>
      <c r="B81" s="121" t="s">
        <v>739</v>
      </c>
      <c r="C81" s="164" t="s">
        <v>91</v>
      </c>
      <c r="D81" s="164">
        <v>100</v>
      </c>
      <c r="E81" s="122">
        <v>3.32</v>
      </c>
      <c r="F81" s="123">
        <f t="shared" si="1"/>
        <v>332</v>
      </c>
    </row>
    <row r="82" spans="1:6" x14ac:dyDescent="0.25">
      <c r="A82" s="164">
        <v>77</v>
      </c>
      <c r="B82" s="121" t="s">
        <v>740</v>
      </c>
      <c r="C82" s="164" t="s">
        <v>198</v>
      </c>
      <c r="D82" s="164">
        <v>5</v>
      </c>
      <c r="E82" s="122">
        <v>15.45</v>
      </c>
      <c r="F82" s="123">
        <f t="shared" si="1"/>
        <v>77.25</v>
      </c>
    </row>
    <row r="83" spans="1:6" x14ac:dyDescent="0.25">
      <c r="A83" s="164">
        <v>78</v>
      </c>
      <c r="B83" s="121" t="s">
        <v>741</v>
      </c>
      <c r="C83" s="164" t="s">
        <v>92</v>
      </c>
      <c r="D83" s="164">
        <v>200</v>
      </c>
      <c r="E83" s="122">
        <v>21.25</v>
      </c>
      <c r="F83" s="123">
        <f t="shared" si="1"/>
        <v>4250</v>
      </c>
    </row>
    <row r="84" spans="1:6" x14ac:dyDescent="0.25">
      <c r="A84" s="164">
        <v>79</v>
      </c>
      <c r="B84" s="121" t="s">
        <v>742</v>
      </c>
      <c r="C84" s="164" t="s">
        <v>92</v>
      </c>
      <c r="D84" s="164">
        <v>200</v>
      </c>
      <c r="E84" s="122">
        <v>8.41</v>
      </c>
      <c r="F84" s="123">
        <f t="shared" si="1"/>
        <v>1682</v>
      </c>
    </row>
    <row r="85" spans="1:6" x14ac:dyDescent="0.25">
      <c r="A85" s="164">
        <v>80</v>
      </c>
      <c r="B85" s="121" t="s">
        <v>743</v>
      </c>
      <c r="C85" s="164" t="s">
        <v>92</v>
      </c>
      <c r="D85" s="164">
        <v>500</v>
      </c>
      <c r="E85" s="122">
        <v>1.19</v>
      </c>
      <c r="F85" s="123">
        <f t="shared" si="1"/>
        <v>595</v>
      </c>
    </row>
    <row r="86" spans="1:6" x14ac:dyDescent="0.25">
      <c r="A86" s="164">
        <v>81</v>
      </c>
      <c r="B86" s="121" t="s">
        <v>185</v>
      </c>
      <c r="C86" s="164" t="s">
        <v>186</v>
      </c>
      <c r="D86" s="164">
        <v>10</v>
      </c>
      <c r="E86" s="122">
        <v>0.96</v>
      </c>
      <c r="F86" s="123">
        <f t="shared" si="1"/>
        <v>9.6</v>
      </c>
    </row>
    <row r="87" spans="1:6" x14ac:dyDescent="0.25">
      <c r="A87" s="164">
        <v>82</v>
      </c>
      <c r="B87" s="121" t="s">
        <v>120</v>
      </c>
      <c r="C87" s="164" t="s">
        <v>198</v>
      </c>
      <c r="D87" s="164">
        <v>5</v>
      </c>
      <c r="E87" s="122">
        <v>8.5</v>
      </c>
      <c r="F87" s="123">
        <f t="shared" si="1"/>
        <v>42.5</v>
      </c>
    </row>
    <row r="88" spans="1:6" x14ac:dyDescent="0.25">
      <c r="A88" s="164">
        <v>83</v>
      </c>
      <c r="B88" s="121" t="s">
        <v>744</v>
      </c>
      <c r="C88" s="164" t="s">
        <v>91</v>
      </c>
      <c r="D88" s="164">
        <v>20</v>
      </c>
      <c r="E88" s="122">
        <v>14.5</v>
      </c>
      <c r="F88" s="123">
        <f t="shared" si="1"/>
        <v>290</v>
      </c>
    </row>
    <row r="89" spans="1:6" x14ac:dyDescent="0.25">
      <c r="A89" s="164">
        <v>84</v>
      </c>
      <c r="B89" s="121" t="s">
        <v>745</v>
      </c>
      <c r="C89" s="164" t="s">
        <v>91</v>
      </c>
      <c r="D89" s="164">
        <v>6</v>
      </c>
      <c r="E89" s="122">
        <v>123.81</v>
      </c>
      <c r="F89" s="123">
        <f t="shared" si="1"/>
        <v>742.86</v>
      </c>
    </row>
    <row r="90" spans="1:6" x14ac:dyDescent="0.25">
      <c r="A90" s="164">
        <v>85</v>
      </c>
      <c r="B90" s="121" t="s">
        <v>8</v>
      </c>
      <c r="C90" s="164" t="s">
        <v>91</v>
      </c>
      <c r="D90" s="164">
        <v>50</v>
      </c>
      <c r="E90" s="122">
        <v>15.45</v>
      </c>
      <c r="F90" s="123">
        <f t="shared" si="1"/>
        <v>772.5</v>
      </c>
    </row>
    <row r="91" spans="1:6" x14ac:dyDescent="0.25">
      <c r="A91" s="164">
        <v>86</v>
      </c>
      <c r="B91" s="121" t="s">
        <v>746</v>
      </c>
      <c r="C91" s="164" t="s">
        <v>91</v>
      </c>
      <c r="D91" s="164">
        <v>10</v>
      </c>
      <c r="E91" s="122">
        <v>10.34</v>
      </c>
      <c r="F91" s="123">
        <f t="shared" si="1"/>
        <v>103.4</v>
      </c>
    </row>
    <row r="92" spans="1:6" x14ac:dyDescent="0.25">
      <c r="A92" s="164">
        <v>87</v>
      </c>
      <c r="B92" s="121" t="s">
        <v>747</v>
      </c>
      <c r="C92" s="164" t="s">
        <v>91</v>
      </c>
      <c r="D92" s="164">
        <v>20</v>
      </c>
      <c r="E92" s="122">
        <v>15.81</v>
      </c>
      <c r="F92" s="123">
        <f t="shared" si="1"/>
        <v>316.2</v>
      </c>
    </row>
    <row r="93" spans="1:6" x14ac:dyDescent="0.25">
      <c r="A93" s="164">
        <v>88</v>
      </c>
      <c r="B93" s="121" t="s">
        <v>748</v>
      </c>
      <c r="C93" s="164" t="s">
        <v>91</v>
      </c>
      <c r="D93" s="164">
        <v>10</v>
      </c>
      <c r="E93" s="122">
        <v>16.350000000000001</v>
      </c>
      <c r="F93" s="123">
        <f t="shared" si="1"/>
        <v>163.5</v>
      </c>
    </row>
    <row r="94" spans="1:6" x14ac:dyDescent="0.25">
      <c r="A94" s="164">
        <v>89</v>
      </c>
      <c r="B94" s="121" t="s">
        <v>749</v>
      </c>
      <c r="C94" s="164" t="s">
        <v>91</v>
      </c>
      <c r="D94" s="164">
        <v>100</v>
      </c>
      <c r="E94" s="122">
        <v>5.36</v>
      </c>
      <c r="F94" s="123">
        <f t="shared" si="1"/>
        <v>536</v>
      </c>
    </row>
    <row r="95" spans="1:6" x14ac:dyDescent="0.25">
      <c r="A95" s="164">
        <v>90</v>
      </c>
      <c r="B95" s="121" t="s">
        <v>213</v>
      </c>
      <c r="C95" s="164" t="s">
        <v>204</v>
      </c>
      <c r="D95" s="164">
        <v>30</v>
      </c>
      <c r="E95" s="122">
        <v>2.25</v>
      </c>
      <c r="F95" s="123">
        <f t="shared" si="1"/>
        <v>67.5</v>
      </c>
    </row>
    <row r="96" spans="1:6" ht="25.5" x14ac:dyDescent="0.25">
      <c r="A96" s="164">
        <v>91</v>
      </c>
      <c r="B96" s="121" t="s">
        <v>750</v>
      </c>
      <c r="C96" s="164" t="s">
        <v>751</v>
      </c>
      <c r="D96" s="164">
        <v>1000</v>
      </c>
      <c r="E96" s="122">
        <v>0.09</v>
      </c>
      <c r="F96" s="123">
        <f t="shared" si="1"/>
        <v>90</v>
      </c>
    </row>
    <row r="97" spans="1:6" x14ac:dyDescent="0.25">
      <c r="A97" s="164">
        <v>92</v>
      </c>
      <c r="B97" s="121" t="s">
        <v>61</v>
      </c>
      <c r="C97" s="164" t="s">
        <v>91</v>
      </c>
      <c r="D97" s="164">
        <v>10</v>
      </c>
      <c r="E97" s="122">
        <v>146.91</v>
      </c>
      <c r="F97" s="123">
        <f t="shared" si="1"/>
        <v>1469.1</v>
      </c>
    </row>
    <row r="98" spans="1:6" x14ac:dyDescent="0.25">
      <c r="A98" s="164">
        <v>93</v>
      </c>
      <c r="B98" s="121" t="s">
        <v>59</v>
      </c>
      <c r="C98" s="164" t="s">
        <v>91</v>
      </c>
      <c r="D98" s="164">
        <v>40</v>
      </c>
      <c r="E98" s="122">
        <v>6.78</v>
      </c>
      <c r="F98" s="123">
        <f t="shared" si="1"/>
        <v>271.2</v>
      </c>
    </row>
    <row r="99" spans="1:6" x14ac:dyDescent="0.25">
      <c r="A99" s="164">
        <v>94</v>
      </c>
      <c r="B99" s="121" t="s">
        <v>60</v>
      </c>
      <c r="C99" s="164" t="s">
        <v>91</v>
      </c>
      <c r="D99" s="164">
        <v>40</v>
      </c>
      <c r="E99" s="122">
        <v>7.17</v>
      </c>
      <c r="F99" s="123">
        <f t="shared" si="1"/>
        <v>286.8</v>
      </c>
    </row>
    <row r="100" spans="1:6" x14ac:dyDescent="0.25">
      <c r="A100" s="164">
        <v>95</v>
      </c>
      <c r="B100" s="121" t="s">
        <v>121</v>
      </c>
      <c r="C100" s="164" t="s">
        <v>198</v>
      </c>
      <c r="D100" s="164">
        <v>3</v>
      </c>
      <c r="E100" s="122">
        <v>20.86</v>
      </c>
      <c r="F100" s="123">
        <f t="shared" si="1"/>
        <v>62.58</v>
      </c>
    </row>
    <row r="101" spans="1:6" ht="25.5" x14ac:dyDescent="0.25">
      <c r="A101" s="164">
        <v>96</v>
      </c>
      <c r="B101" s="121" t="s">
        <v>752</v>
      </c>
      <c r="C101" s="164" t="s">
        <v>91</v>
      </c>
      <c r="D101" s="164">
        <v>10</v>
      </c>
      <c r="E101" s="122">
        <v>4.5599999999999996</v>
      </c>
      <c r="F101" s="123">
        <f t="shared" si="1"/>
        <v>45.6</v>
      </c>
    </row>
    <row r="102" spans="1:6" ht="25.5" x14ac:dyDescent="0.25">
      <c r="A102" s="164">
        <v>97</v>
      </c>
      <c r="B102" s="121" t="s">
        <v>753</v>
      </c>
      <c r="C102" s="164" t="s">
        <v>91</v>
      </c>
      <c r="D102" s="164">
        <v>10</v>
      </c>
      <c r="E102" s="122">
        <v>9.9</v>
      </c>
      <c r="F102" s="123">
        <f t="shared" si="1"/>
        <v>99</v>
      </c>
    </row>
    <row r="103" spans="1:6" ht="25.5" x14ac:dyDescent="0.25">
      <c r="A103" s="164">
        <v>98</v>
      </c>
      <c r="B103" s="121" t="s">
        <v>754</v>
      </c>
      <c r="C103" s="164" t="s">
        <v>91</v>
      </c>
      <c r="D103" s="164">
        <v>50</v>
      </c>
      <c r="E103" s="122">
        <v>9.36</v>
      </c>
      <c r="F103" s="123">
        <f t="shared" si="1"/>
        <v>468</v>
      </c>
    </row>
    <row r="104" spans="1:6" ht="25.5" x14ac:dyDescent="0.25">
      <c r="A104" s="164">
        <v>99</v>
      </c>
      <c r="B104" s="121" t="s">
        <v>755</v>
      </c>
      <c r="C104" s="164" t="s">
        <v>91</v>
      </c>
      <c r="D104" s="164">
        <v>20</v>
      </c>
      <c r="E104" s="122">
        <v>11.2</v>
      </c>
      <c r="F104" s="123">
        <f t="shared" si="1"/>
        <v>224</v>
      </c>
    </row>
    <row r="105" spans="1:6" x14ac:dyDescent="0.25">
      <c r="A105" s="164">
        <v>100</v>
      </c>
      <c r="B105" s="121" t="s">
        <v>756</v>
      </c>
      <c r="C105" s="164" t="s">
        <v>91</v>
      </c>
      <c r="D105" s="164">
        <v>300</v>
      </c>
      <c r="E105" s="122">
        <v>6.12</v>
      </c>
      <c r="F105" s="123">
        <f t="shared" si="1"/>
        <v>1836</v>
      </c>
    </row>
    <row r="106" spans="1:6" x14ac:dyDescent="0.25">
      <c r="A106" s="164">
        <v>101</v>
      </c>
      <c r="B106" s="121" t="s">
        <v>757</v>
      </c>
      <c r="C106" s="164" t="s">
        <v>91</v>
      </c>
      <c r="D106" s="164">
        <v>300</v>
      </c>
      <c r="E106" s="122">
        <v>6.12</v>
      </c>
      <c r="F106" s="123">
        <f t="shared" si="1"/>
        <v>1836</v>
      </c>
    </row>
    <row r="107" spans="1:6" x14ac:dyDescent="0.25">
      <c r="A107" s="164">
        <v>102</v>
      </c>
      <c r="B107" s="121" t="s">
        <v>71</v>
      </c>
      <c r="C107" s="164" t="s">
        <v>690</v>
      </c>
      <c r="D107" s="164">
        <v>600</v>
      </c>
      <c r="E107" s="122">
        <v>7.83</v>
      </c>
      <c r="F107" s="123">
        <f t="shared" si="1"/>
        <v>4698</v>
      </c>
    </row>
    <row r="108" spans="1:6" x14ac:dyDescent="0.25">
      <c r="A108" s="164">
        <v>103</v>
      </c>
      <c r="B108" s="121" t="s">
        <v>758</v>
      </c>
      <c r="C108" s="164" t="s">
        <v>91</v>
      </c>
      <c r="D108" s="164">
        <v>100</v>
      </c>
      <c r="E108" s="122">
        <v>8.7899999999999991</v>
      </c>
      <c r="F108" s="123">
        <f t="shared" si="1"/>
        <v>879</v>
      </c>
    </row>
    <row r="109" spans="1:6" x14ac:dyDescent="0.25">
      <c r="A109" s="164">
        <v>104</v>
      </c>
      <c r="B109" s="121" t="s">
        <v>759</v>
      </c>
      <c r="C109" s="164" t="s">
        <v>690</v>
      </c>
      <c r="D109" s="164">
        <v>300</v>
      </c>
      <c r="E109" s="122">
        <v>9.0299999999999994</v>
      </c>
      <c r="F109" s="123">
        <f t="shared" si="1"/>
        <v>2709</v>
      </c>
    </row>
    <row r="110" spans="1:6" x14ac:dyDescent="0.25">
      <c r="A110" s="164">
        <v>105</v>
      </c>
      <c r="B110" s="121" t="s">
        <v>75</v>
      </c>
      <c r="C110" s="164" t="s">
        <v>91</v>
      </c>
      <c r="D110" s="164">
        <v>20</v>
      </c>
      <c r="E110" s="122">
        <v>34.97</v>
      </c>
      <c r="F110" s="123">
        <f t="shared" si="1"/>
        <v>699.4</v>
      </c>
    </row>
    <row r="111" spans="1:6" x14ac:dyDescent="0.25">
      <c r="A111" s="164">
        <v>106</v>
      </c>
      <c r="B111" s="121" t="s">
        <v>760</v>
      </c>
      <c r="C111" s="164" t="s">
        <v>91</v>
      </c>
      <c r="D111" s="164">
        <v>300</v>
      </c>
      <c r="E111" s="122">
        <v>5.54</v>
      </c>
      <c r="F111" s="123">
        <f t="shared" si="1"/>
        <v>1662</v>
      </c>
    </row>
    <row r="112" spans="1:6" x14ac:dyDescent="0.25">
      <c r="A112" s="164">
        <v>107</v>
      </c>
      <c r="B112" s="121" t="s">
        <v>76</v>
      </c>
      <c r="C112" s="164" t="s">
        <v>91</v>
      </c>
      <c r="D112" s="164">
        <v>6</v>
      </c>
      <c r="E112" s="122">
        <v>370.35</v>
      </c>
      <c r="F112" s="123">
        <f t="shared" si="1"/>
        <v>2222.1</v>
      </c>
    </row>
    <row r="113" spans="1:6" x14ac:dyDescent="0.25">
      <c r="A113" s="164">
        <v>108</v>
      </c>
      <c r="B113" s="121" t="s">
        <v>761</v>
      </c>
      <c r="C113" s="164" t="s">
        <v>91</v>
      </c>
      <c r="D113" s="164">
        <v>30</v>
      </c>
      <c r="E113" s="122">
        <v>16.71</v>
      </c>
      <c r="F113" s="123">
        <f t="shared" si="1"/>
        <v>501.3</v>
      </c>
    </row>
    <row r="114" spans="1:6" x14ac:dyDescent="0.25">
      <c r="A114" s="164">
        <v>109</v>
      </c>
      <c r="B114" s="121" t="s">
        <v>122</v>
      </c>
      <c r="C114" s="164" t="s">
        <v>91</v>
      </c>
      <c r="D114" s="164">
        <v>50</v>
      </c>
      <c r="E114" s="122">
        <v>1.1299999999999999</v>
      </c>
      <c r="F114" s="123">
        <f t="shared" si="1"/>
        <v>56.5</v>
      </c>
    </row>
    <row r="115" spans="1:6" x14ac:dyDescent="0.25">
      <c r="A115" s="164">
        <v>110</v>
      </c>
      <c r="B115" s="121" t="s">
        <v>762</v>
      </c>
      <c r="C115" s="164" t="s">
        <v>690</v>
      </c>
      <c r="D115" s="164">
        <v>10</v>
      </c>
      <c r="E115" s="122">
        <v>20.98</v>
      </c>
      <c r="F115" s="123">
        <f t="shared" si="1"/>
        <v>209.8</v>
      </c>
    </row>
    <row r="116" spans="1:6" x14ac:dyDescent="0.25">
      <c r="A116" s="164">
        <v>111</v>
      </c>
      <c r="B116" s="121" t="s">
        <v>210</v>
      </c>
      <c r="C116" s="164" t="s">
        <v>192</v>
      </c>
      <c r="D116" s="164">
        <v>10</v>
      </c>
      <c r="E116" s="122">
        <v>10.029999999999999</v>
      </c>
      <c r="F116" s="123">
        <f t="shared" si="1"/>
        <v>100.3</v>
      </c>
    </row>
    <row r="117" spans="1:6" x14ac:dyDescent="0.25">
      <c r="A117" s="164">
        <v>112</v>
      </c>
      <c r="B117" s="121" t="s">
        <v>201</v>
      </c>
      <c r="C117" s="164" t="s">
        <v>202</v>
      </c>
      <c r="D117" s="164">
        <v>30</v>
      </c>
      <c r="E117" s="122">
        <v>28.68</v>
      </c>
      <c r="F117" s="123">
        <f t="shared" si="1"/>
        <v>860.4</v>
      </c>
    </row>
    <row r="118" spans="1:6" x14ac:dyDescent="0.25">
      <c r="A118" s="164">
        <v>113</v>
      </c>
      <c r="B118" s="121" t="s">
        <v>763</v>
      </c>
      <c r="C118" s="164" t="s">
        <v>91</v>
      </c>
      <c r="D118" s="164">
        <v>5</v>
      </c>
      <c r="E118" s="122">
        <v>7.5</v>
      </c>
      <c r="F118" s="123">
        <f t="shared" si="1"/>
        <v>37.5</v>
      </c>
    </row>
    <row r="119" spans="1:6" x14ac:dyDescent="0.25">
      <c r="A119" s="164">
        <v>114</v>
      </c>
      <c r="B119" s="121" t="s">
        <v>764</v>
      </c>
      <c r="C119" s="164" t="s">
        <v>192</v>
      </c>
      <c r="D119" s="164">
        <v>10</v>
      </c>
      <c r="E119" s="122">
        <v>2.94</v>
      </c>
      <c r="F119" s="123">
        <f t="shared" si="1"/>
        <v>29.4</v>
      </c>
    </row>
    <row r="120" spans="1:6" x14ac:dyDescent="0.25">
      <c r="A120" s="164">
        <v>115</v>
      </c>
      <c r="B120" s="121" t="s">
        <v>124</v>
      </c>
      <c r="C120" s="164" t="s">
        <v>182</v>
      </c>
      <c r="D120" s="164">
        <v>10</v>
      </c>
      <c r="E120" s="122">
        <v>14.21</v>
      </c>
      <c r="F120" s="123">
        <f t="shared" si="1"/>
        <v>142.1</v>
      </c>
    </row>
    <row r="121" spans="1:6" x14ac:dyDescent="0.25">
      <c r="A121" s="164">
        <v>116</v>
      </c>
      <c r="B121" s="121" t="s">
        <v>125</v>
      </c>
      <c r="C121" s="164" t="s">
        <v>204</v>
      </c>
      <c r="D121" s="164">
        <v>300</v>
      </c>
      <c r="E121" s="122">
        <v>0.41</v>
      </c>
      <c r="F121" s="123">
        <f t="shared" si="1"/>
        <v>123</v>
      </c>
    </row>
    <row r="122" spans="1:6" x14ac:dyDescent="0.25">
      <c r="A122" s="164">
        <v>117</v>
      </c>
      <c r="B122" s="121" t="s">
        <v>765</v>
      </c>
      <c r="C122" s="164" t="s">
        <v>91</v>
      </c>
      <c r="D122" s="164">
        <v>10</v>
      </c>
      <c r="E122" s="122">
        <v>2.52</v>
      </c>
      <c r="F122" s="123">
        <f t="shared" si="1"/>
        <v>25.2</v>
      </c>
    </row>
    <row r="123" spans="1:6" x14ac:dyDescent="0.25">
      <c r="A123" s="164">
        <v>118</v>
      </c>
      <c r="B123" s="121" t="s">
        <v>766</v>
      </c>
      <c r="C123" s="164" t="s">
        <v>91</v>
      </c>
      <c r="D123" s="164">
        <v>40</v>
      </c>
      <c r="E123" s="122">
        <v>4.32</v>
      </c>
      <c r="F123" s="123">
        <f t="shared" si="1"/>
        <v>172.8</v>
      </c>
    </row>
    <row r="124" spans="1:6" x14ac:dyDescent="0.25">
      <c r="A124" s="164">
        <v>119</v>
      </c>
      <c r="B124" s="121" t="s">
        <v>767</v>
      </c>
      <c r="C124" s="164" t="s">
        <v>690</v>
      </c>
      <c r="D124" s="164">
        <v>100</v>
      </c>
      <c r="E124" s="122">
        <v>16.93</v>
      </c>
      <c r="F124" s="123">
        <f t="shared" si="1"/>
        <v>1693</v>
      </c>
    </row>
    <row r="125" spans="1:6" x14ac:dyDescent="0.25">
      <c r="A125" s="164">
        <v>120</v>
      </c>
      <c r="B125" s="121" t="s">
        <v>768</v>
      </c>
      <c r="C125" s="164" t="s">
        <v>690</v>
      </c>
      <c r="D125" s="164">
        <v>50</v>
      </c>
      <c r="E125" s="122">
        <v>13.47</v>
      </c>
      <c r="F125" s="123">
        <f t="shared" si="1"/>
        <v>673.5</v>
      </c>
    </row>
    <row r="126" spans="1:6" x14ac:dyDescent="0.25">
      <c r="A126" s="164">
        <v>121</v>
      </c>
      <c r="B126" s="121" t="s">
        <v>769</v>
      </c>
      <c r="C126" s="164" t="s">
        <v>690</v>
      </c>
      <c r="D126" s="164">
        <v>24</v>
      </c>
      <c r="E126" s="122">
        <v>2.94</v>
      </c>
      <c r="F126" s="123">
        <f t="shared" si="1"/>
        <v>70.56</v>
      </c>
    </row>
    <row r="127" spans="1:6" x14ac:dyDescent="0.25">
      <c r="A127" s="164">
        <v>122</v>
      </c>
      <c r="B127" s="121" t="s">
        <v>770</v>
      </c>
      <c r="C127" s="164" t="s">
        <v>91</v>
      </c>
      <c r="D127" s="164">
        <v>30</v>
      </c>
      <c r="E127" s="122">
        <v>2.64</v>
      </c>
      <c r="F127" s="123">
        <f t="shared" si="1"/>
        <v>79.2</v>
      </c>
    </row>
    <row r="128" spans="1:6" x14ac:dyDescent="0.25">
      <c r="A128" s="164">
        <v>123</v>
      </c>
      <c r="B128" s="121" t="s">
        <v>771</v>
      </c>
      <c r="C128" s="164" t="s">
        <v>91</v>
      </c>
      <c r="D128" s="164">
        <v>30</v>
      </c>
      <c r="E128" s="122">
        <v>2.64</v>
      </c>
      <c r="F128" s="123">
        <f t="shared" si="1"/>
        <v>79.2</v>
      </c>
    </row>
    <row r="129" spans="1:6" x14ac:dyDescent="0.25">
      <c r="A129" s="164">
        <v>124</v>
      </c>
      <c r="B129" s="121" t="s">
        <v>772</v>
      </c>
      <c r="C129" s="164" t="s">
        <v>192</v>
      </c>
      <c r="D129" s="164">
        <v>100</v>
      </c>
      <c r="E129" s="122">
        <v>4.0599999999999996</v>
      </c>
      <c r="F129" s="123">
        <f t="shared" si="1"/>
        <v>406</v>
      </c>
    </row>
    <row r="130" spans="1:6" ht="25.5" x14ac:dyDescent="0.25">
      <c r="A130" s="164">
        <v>125</v>
      </c>
      <c r="B130" s="121" t="s">
        <v>773</v>
      </c>
      <c r="C130" s="164" t="s">
        <v>192</v>
      </c>
      <c r="D130" s="164">
        <v>2</v>
      </c>
      <c r="E130" s="122">
        <v>367.33</v>
      </c>
      <c r="F130" s="123">
        <f t="shared" si="1"/>
        <v>734.66</v>
      </c>
    </row>
    <row r="131" spans="1:6" x14ac:dyDescent="0.25">
      <c r="A131" s="164">
        <v>126</v>
      </c>
      <c r="B131" s="121" t="s">
        <v>127</v>
      </c>
      <c r="C131" s="164" t="s">
        <v>204</v>
      </c>
      <c r="D131" s="164">
        <v>50</v>
      </c>
      <c r="E131" s="122">
        <v>0.36</v>
      </c>
      <c r="F131" s="123">
        <f t="shared" si="1"/>
        <v>18</v>
      </c>
    </row>
    <row r="132" spans="1:6" x14ac:dyDescent="0.25">
      <c r="A132" s="164">
        <v>127</v>
      </c>
      <c r="B132" s="121" t="s">
        <v>774</v>
      </c>
      <c r="C132" s="164" t="s">
        <v>192</v>
      </c>
      <c r="D132" s="164">
        <v>10</v>
      </c>
      <c r="E132" s="122">
        <v>10.050000000000001</v>
      </c>
      <c r="F132" s="123">
        <f t="shared" si="1"/>
        <v>100.5</v>
      </c>
    </row>
    <row r="133" spans="1:6" x14ac:dyDescent="0.25">
      <c r="A133" s="164">
        <v>128</v>
      </c>
      <c r="B133" s="121" t="s">
        <v>128</v>
      </c>
      <c r="C133" s="164" t="s">
        <v>198</v>
      </c>
      <c r="D133" s="164">
        <v>2</v>
      </c>
      <c r="E133" s="122">
        <v>7.32</v>
      </c>
      <c r="F133" s="123">
        <f t="shared" si="1"/>
        <v>14.64</v>
      </c>
    </row>
    <row r="134" spans="1:6" x14ac:dyDescent="0.25">
      <c r="A134" s="164">
        <v>129</v>
      </c>
      <c r="B134" s="121" t="s">
        <v>510</v>
      </c>
      <c r="C134" s="164" t="s">
        <v>192</v>
      </c>
      <c r="D134" s="164">
        <v>15</v>
      </c>
      <c r="E134" s="122">
        <v>1.1299999999999999</v>
      </c>
      <c r="F134" s="123">
        <f t="shared" si="1"/>
        <v>16.95</v>
      </c>
    </row>
    <row r="135" spans="1:6" x14ac:dyDescent="0.25">
      <c r="A135" s="164">
        <v>130</v>
      </c>
      <c r="B135" s="121" t="s">
        <v>129</v>
      </c>
      <c r="C135" s="164" t="s">
        <v>182</v>
      </c>
      <c r="D135" s="164">
        <v>5</v>
      </c>
      <c r="E135" s="122">
        <v>7.23</v>
      </c>
      <c r="F135" s="123">
        <f t="shared" si="1"/>
        <v>36.15</v>
      </c>
    </row>
    <row r="136" spans="1:6" x14ac:dyDescent="0.25">
      <c r="A136" s="164">
        <v>131</v>
      </c>
      <c r="B136" s="121" t="s">
        <v>13</v>
      </c>
      <c r="C136" s="164" t="s">
        <v>91</v>
      </c>
      <c r="D136" s="164">
        <v>3</v>
      </c>
      <c r="E136" s="122">
        <v>505.59</v>
      </c>
      <c r="F136" s="123">
        <f t="shared" ref="F136:F161" si="2">TRUNC(D136*E136,2)</f>
        <v>1516.77</v>
      </c>
    </row>
    <row r="137" spans="1:6" x14ac:dyDescent="0.25">
      <c r="A137" s="164">
        <v>132</v>
      </c>
      <c r="B137" s="121" t="s">
        <v>775</v>
      </c>
      <c r="C137" s="164" t="s">
        <v>91</v>
      </c>
      <c r="D137" s="164">
        <v>20</v>
      </c>
      <c r="E137" s="122">
        <v>22.64</v>
      </c>
      <c r="F137" s="123">
        <f t="shared" si="2"/>
        <v>452.8</v>
      </c>
    </row>
    <row r="138" spans="1:6" x14ac:dyDescent="0.25">
      <c r="A138" s="164">
        <v>133</v>
      </c>
      <c r="B138" s="121" t="s">
        <v>776</v>
      </c>
      <c r="C138" s="164" t="s">
        <v>91</v>
      </c>
      <c r="D138" s="164">
        <v>10</v>
      </c>
      <c r="E138" s="122">
        <v>11.94</v>
      </c>
      <c r="F138" s="123">
        <f t="shared" si="2"/>
        <v>119.4</v>
      </c>
    </row>
    <row r="139" spans="1:6" x14ac:dyDescent="0.25">
      <c r="A139" s="164">
        <v>134</v>
      </c>
      <c r="B139" s="121" t="s">
        <v>777</v>
      </c>
      <c r="C139" s="164" t="s">
        <v>91</v>
      </c>
      <c r="D139" s="164">
        <v>10</v>
      </c>
      <c r="E139" s="122">
        <v>12.35</v>
      </c>
      <c r="F139" s="123">
        <f t="shared" si="2"/>
        <v>123.5</v>
      </c>
    </row>
    <row r="140" spans="1:6" x14ac:dyDescent="0.25">
      <c r="A140" s="164">
        <v>135</v>
      </c>
      <c r="B140" s="121" t="s">
        <v>778</v>
      </c>
      <c r="C140" s="164" t="s">
        <v>779</v>
      </c>
      <c r="D140" s="164">
        <v>1</v>
      </c>
      <c r="E140" s="122">
        <v>31.21</v>
      </c>
      <c r="F140" s="123">
        <f t="shared" si="2"/>
        <v>31.21</v>
      </c>
    </row>
    <row r="141" spans="1:6" x14ac:dyDescent="0.25">
      <c r="A141" s="164">
        <v>136</v>
      </c>
      <c r="B141" s="121" t="s">
        <v>18</v>
      </c>
      <c r="C141" s="164" t="s">
        <v>91</v>
      </c>
      <c r="D141" s="164">
        <v>10</v>
      </c>
      <c r="E141" s="122">
        <v>72.489999999999995</v>
      </c>
      <c r="F141" s="123">
        <f t="shared" si="2"/>
        <v>724.9</v>
      </c>
    </row>
    <row r="142" spans="1:6" x14ac:dyDescent="0.25">
      <c r="A142" s="164">
        <v>137</v>
      </c>
      <c r="B142" s="121" t="s">
        <v>780</v>
      </c>
      <c r="C142" s="164" t="s">
        <v>91</v>
      </c>
      <c r="D142" s="164">
        <v>10</v>
      </c>
      <c r="E142" s="122">
        <v>11.24</v>
      </c>
      <c r="F142" s="123">
        <f t="shared" si="2"/>
        <v>112.4</v>
      </c>
    </row>
    <row r="143" spans="1:6" x14ac:dyDescent="0.25">
      <c r="A143" s="164">
        <v>138</v>
      </c>
      <c r="B143" s="121" t="s">
        <v>206</v>
      </c>
      <c r="C143" s="164" t="s">
        <v>204</v>
      </c>
      <c r="D143" s="164">
        <v>5</v>
      </c>
      <c r="E143" s="122">
        <v>18.29</v>
      </c>
      <c r="F143" s="123">
        <f t="shared" si="2"/>
        <v>91.45</v>
      </c>
    </row>
    <row r="144" spans="1:6" x14ac:dyDescent="0.25">
      <c r="A144" s="164">
        <v>139</v>
      </c>
      <c r="B144" s="121" t="s">
        <v>211</v>
      </c>
      <c r="C144" s="164" t="s">
        <v>204</v>
      </c>
      <c r="D144" s="164">
        <v>50</v>
      </c>
      <c r="E144" s="122">
        <v>1.59</v>
      </c>
      <c r="F144" s="123">
        <f t="shared" si="2"/>
        <v>79.5</v>
      </c>
    </row>
    <row r="145" spans="1:6" x14ac:dyDescent="0.25">
      <c r="A145" s="164">
        <v>140</v>
      </c>
      <c r="B145" s="121" t="s">
        <v>130</v>
      </c>
      <c r="C145" s="164" t="s">
        <v>192</v>
      </c>
      <c r="D145" s="164">
        <v>50</v>
      </c>
      <c r="E145" s="122">
        <v>1.91</v>
      </c>
      <c r="F145" s="123">
        <f t="shared" si="2"/>
        <v>95.5</v>
      </c>
    </row>
    <row r="146" spans="1:6" x14ac:dyDescent="0.25">
      <c r="A146" s="164">
        <v>141</v>
      </c>
      <c r="B146" s="121" t="s">
        <v>781</v>
      </c>
      <c r="C146" s="164" t="s">
        <v>192</v>
      </c>
      <c r="D146" s="164">
        <v>10</v>
      </c>
      <c r="E146" s="122">
        <v>3.22</v>
      </c>
      <c r="F146" s="123">
        <f t="shared" si="2"/>
        <v>32.200000000000003</v>
      </c>
    </row>
    <row r="147" spans="1:6" x14ac:dyDescent="0.25">
      <c r="A147" s="164">
        <v>142</v>
      </c>
      <c r="B147" s="121" t="s">
        <v>782</v>
      </c>
      <c r="C147" s="164" t="s">
        <v>192</v>
      </c>
      <c r="D147" s="164">
        <v>30</v>
      </c>
      <c r="E147" s="122">
        <v>17.29</v>
      </c>
      <c r="F147" s="123">
        <f t="shared" si="2"/>
        <v>518.70000000000005</v>
      </c>
    </row>
    <row r="148" spans="1:6" x14ac:dyDescent="0.25">
      <c r="A148" s="164">
        <v>143</v>
      </c>
      <c r="B148" s="121" t="s">
        <v>131</v>
      </c>
      <c r="C148" s="164" t="s">
        <v>198</v>
      </c>
      <c r="D148" s="164">
        <v>5</v>
      </c>
      <c r="E148" s="122">
        <v>9.3699999999999992</v>
      </c>
      <c r="F148" s="123">
        <f t="shared" si="2"/>
        <v>46.85</v>
      </c>
    </row>
    <row r="149" spans="1:6" x14ac:dyDescent="0.25">
      <c r="A149" s="164">
        <v>144</v>
      </c>
      <c r="B149" s="121" t="s">
        <v>19</v>
      </c>
      <c r="C149" s="164" t="s">
        <v>91</v>
      </c>
      <c r="D149" s="164">
        <v>50</v>
      </c>
      <c r="E149" s="122">
        <v>1.68</v>
      </c>
      <c r="F149" s="123">
        <f t="shared" si="2"/>
        <v>84</v>
      </c>
    </row>
    <row r="150" spans="1:6" x14ac:dyDescent="0.25">
      <c r="A150" s="164">
        <v>145</v>
      </c>
      <c r="B150" s="121" t="s">
        <v>240</v>
      </c>
      <c r="C150" s="164" t="s">
        <v>192</v>
      </c>
      <c r="D150" s="164">
        <v>300</v>
      </c>
      <c r="E150" s="122">
        <v>0.26</v>
      </c>
      <c r="F150" s="123">
        <f t="shared" si="2"/>
        <v>78</v>
      </c>
    </row>
    <row r="151" spans="1:6" x14ac:dyDescent="0.25">
      <c r="A151" s="164">
        <v>146</v>
      </c>
      <c r="B151" s="121" t="s">
        <v>20</v>
      </c>
      <c r="C151" s="164" t="s">
        <v>91</v>
      </c>
      <c r="D151" s="164">
        <v>10</v>
      </c>
      <c r="E151" s="122">
        <v>23.73</v>
      </c>
      <c r="F151" s="123">
        <f t="shared" si="2"/>
        <v>237.3</v>
      </c>
    </row>
    <row r="152" spans="1:6" x14ac:dyDescent="0.25">
      <c r="A152" s="164">
        <v>147</v>
      </c>
      <c r="B152" s="121" t="s">
        <v>511</v>
      </c>
      <c r="C152" s="164" t="s">
        <v>91</v>
      </c>
      <c r="D152" s="164">
        <v>100</v>
      </c>
      <c r="E152" s="122">
        <v>11.55</v>
      </c>
      <c r="F152" s="123">
        <f t="shared" si="2"/>
        <v>1155</v>
      </c>
    </row>
    <row r="153" spans="1:6" x14ac:dyDescent="0.25">
      <c r="A153" s="164">
        <v>148</v>
      </c>
      <c r="B153" s="121" t="s">
        <v>512</v>
      </c>
      <c r="C153" s="164" t="s">
        <v>91</v>
      </c>
      <c r="D153" s="164">
        <v>100</v>
      </c>
      <c r="E153" s="122">
        <v>10.29</v>
      </c>
      <c r="F153" s="123">
        <f t="shared" si="2"/>
        <v>1029</v>
      </c>
    </row>
    <row r="154" spans="1:6" x14ac:dyDescent="0.25">
      <c r="A154" s="164">
        <v>149</v>
      </c>
      <c r="B154" s="121" t="s">
        <v>513</v>
      </c>
      <c r="C154" s="164" t="s">
        <v>91</v>
      </c>
      <c r="D154" s="164">
        <v>100</v>
      </c>
      <c r="E154" s="122">
        <v>5.94</v>
      </c>
      <c r="F154" s="123">
        <f t="shared" si="2"/>
        <v>594</v>
      </c>
    </row>
    <row r="155" spans="1:6" x14ac:dyDescent="0.25">
      <c r="A155" s="164">
        <v>150</v>
      </c>
      <c r="B155" s="121" t="s">
        <v>514</v>
      </c>
      <c r="C155" s="164" t="s">
        <v>91</v>
      </c>
      <c r="D155" s="164">
        <v>100</v>
      </c>
      <c r="E155" s="122">
        <v>10.29</v>
      </c>
      <c r="F155" s="123">
        <f t="shared" si="2"/>
        <v>1029</v>
      </c>
    </row>
    <row r="156" spans="1:6" x14ac:dyDescent="0.25">
      <c r="A156" s="164">
        <v>151</v>
      </c>
      <c r="B156" s="121" t="s">
        <v>783</v>
      </c>
      <c r="C156" s="164" t="s">
        <v>91</v>
      </c>
      <c r="D156" s="164">
        <v>100</v>
      </c>
      <c r="E156" s="122">
        <v>9.06</v>
      </c>
      <c r="F156" s="123">
        <f t="shared" si="2"/>
        <v>906</v>
      </c>
    </row>
    <row r="157" spans="1:6" x14ac:dyDescent="0.25">
      <c r="A157" s="164">
        <v>152</v>
      </c>
      <c r="B157" s="121" t="s">
        <v>784</v>
      </c>
      <c r="C157" s="164" t="s">
        <v>91</v>
      </c>
      <c r="D157" s="164">
        <v>100</v>
      </c>
      <c r="E157" s="122">
        <v>9.06</v>
      </c>
      <c r="F157" s="123">
        <f t="shared" si="2"/>
        <v>906</v>
      </c>
    </row>
    <row r="158" spans="1:6" x14ac:dyDescent="0.25">
      <c r="A158" s="164">
        <v>153</v>
      </c>
      <c r="B158" s="121" t="s">
        <v>241</v>
      </c>
      <c r="C158" s="164" t="s">
        <v>91</v>
      </c>
      <c r="D158" s="164">
        <v>5</v>
      </c>
      <c r="E158" s="122">
        <v>4.1100000000000003</v>
      </c>
      <c r="F158" s="123">
        <f t="shared" si="2"/>
        <v>20.55</v>
      </c>
    </row>
    <row r="159" spans="1:6" x14ac:dyDescent="0.25">
      <c r="A159" s="164">
        <v>154</v>
      </c>
      <c r="B159" s="121" t="s">
        <v>132</v>
      </c>
      <c r="C159" s="164" t="s">
        <v>182</v>
      </c>
      <c r="D159" s="164">
        <v>3</v>
      </c>
      <c r="E159" s="122">
        <v>7.03</v>
      </c>
      <c r="F159" s="123">
        <f t="shared" si="2"/>
        <v>21.09</v>
      </c>
    </row>
    <row r="160" spans="1:6" x14ac:dyDescent="0.25">
      <c r="A160" s="164">
        <v>155</v>
      </c>
      <c r="B160" s="121" t="s">
        <v>785</v>
      </c>
      <c r="C160" s="164" t="s">
        <v>91</v>
      </c>
      <c r="D160" s="164">
        <v>12</v>
      </c>
      <c r="E160" s="122">
        <v>27.72</v>
      </c>
      <c r="F160" s="123">
        <f t="shared" si="2"/>
        <v>332.64</v>
      </c>
    </row>
    <row r="161" spans="1:6" ht="25.5" x14ac:dyDescent="0.25">
      <c r="A161" s="164">
        <v>156</v>
      </c>
      <c r="B161" s="121" t="s">
        <v>786</v>
      </c>
      <c r="C161" s="164" t="s">
        <v>91</v>
      </c>
      <c r="D161" s="164">
        <v>400</v>
      </c>
      <c r="E161" s="122">
        <v>116.25</v>
      </c>
      <c r="F161" s="123">
        <f t="shared" si="2"/>
        <v>46500</v>
      </c>
    </row>
    <row r="162" spans="1:6" x14ac:dyDescent="0.25">
      <c r="A162" s="379"/>
      <c r="B162" s="379" t="s">
        <v>287</v>
      </c>
      <c r="C162" s="379"/>
      <c r="D162" s="379"/>
      <c r="E162" s="124"/>
      <c r="F162" s="147">
        <f>SUM(F6:F161)</f>
        <v>127202.32999999999</v>
      </c>
    </row>
    <row r="163" spans="1:6" x14ac:dyDescent="0.25">
      <c r="A163" s="1062" t="s">
        <v>787</v>
      </c>
      <c r="B163" s="1062"/>
      <c r="C163" s="1062"/>
      <c r="D163" s="1062"/>
      <c r="E163" s="169"/>
      <c r="F163" s="170"/>
    </row>
    <row r="164" spans="1:6" ht="29.25" customHeight="1" x14ac:dyDescent="0.25">
      <c r="A164" s="164">
        <v>155</v>
      </c>
      <c r="B164" s="121" t="s">
        <v>788</v>
      </c>
      <c r="C164" s="164" t="s">
        <v>91</v>
      </c>
      <c r="D164" s="164">
        <v>2</v>
      </c>
      <c r="E164" s="122">
        <v>1725</v>
      </c>
      <c r="F164" s="123">
        <f t="shared" ref="F164:F178" si="3">TRUNC(D164*E164,2)</f>
        <v>3450</v>
      </c>
    </row>
    <row r="165" spans="1:6" ht="54.75" customHeight="1" x14ac:dyDescent="0.25">
      <c r="A165" s="164">
        <v>156</v>
      </c>
      <c r="B165" s="121" t="s">
        <v>789</v>
      </c>
      <c r="C165" s="164" t="s">
        <v>91</v>
      </c>
      <c r="D165" s="164">
        <v>18</v>
      </c>
      <c r="E165" s="122">
        <v>157.5</v>
      </c>
      <c r="F165" s="123">
        <f t="shared" si="3"/>
        <v>2835</v>
      </c>
    </row>
    <row r="166" spans="1:6" ht="93" customHeight="1" x14ac:dyDescent="0.25">
      <c r="A166" s="164">
        <v>157</v>
      </c>
      <c r="B166" s="121" t="s">
        <v>790</v>
      </c>
      <c r="C166" s="164" t="s">
        <v>91</v>
      </c>
      <c r="D166" s="164">
        <v>1</v>
      </c>
      <c r="E166" s="122">
        <v>10050</v>
      </c>
      <c r="F166" s="123">
        <f t="shared" si="3"/>
        <v>10050</v>
      </c>
    </row>
    <row r="167" spans="1:6" x14ac:dyDescent="0.25">
      <c r="A167" s="164">
        <v>158</v>
      </c>
      <c r="B167" s="121" t="s">
        <v>791</v>
      </c>
      <c r="C167" s="164" t="s">
        <v>91</v>
      </c>
      <c r="D167" s="164">
        <v>1</v>
      </c>
      <c r="E167" s="122">
        <v>4875</v>
      </c>
      <c r="F167" s="123">
        <f t="shared" si="3"/>
        <v>4875</v>
      </c>
    </row>
    <row r="168" spans="1:6" x14ac:dyDescent="0.25">
      <c r="A168" s="164">
        <v>159</v>
      </c>
      <c r="B168" s="121" t="s">
        <v>792</v>
      </c>
      <c r="C168" s="164" t="s">
        <v>91</v>
      </c>
      <c r="D168" s="164">
        <v>5</v>
      </c>
      <c r="E168" s="122">
        <v>262.5</v>
      </c>
      <c r="F168" s="123">
        <f t="shared" si="3"/>
        <v>1312.5</v>
      </c>
    </row>
    <row r="169" spans="1:6" x14ac:dyDescent="0.25">
      <c r="A169" s="164">
        <v>160</v>
      </c>
      <c r="B169" s="121" t="s">
        <v>793</v>
      </c>
      <c r="C169" s="164" t="s">
        <v>91</v>
      </c>
      <c r="D169" s="164">
        <v>5</v>
      </c>
      <c r="E169" s="122">
        <v>210</v>
      </c>
      <c r="F169" s="123">
        <f t="shared" si="3"/>
        <v>1050</v>
      </c>
    </row>
    <row r="170" spans="1:6" x14ac:dyDescent="0.25">
      <c r="A170" s="164">
        <v>161</v>
      </c>
      <c r="B170" s="121" t="s">
        <v>794</v>
      </c>
      <c r="C170" s="164" t="s">
        <v>91</v>
      </c>
      <c r="D170" s="164">
        <v>5</v>
      </c>
      <c r="E170" s="122">
        <v>206.25</v>
      </c>
      <c r="F170" s="123">
        <f t="shared" si="3"/>
        <v>1031.25</v>
      </c>
    </row>
    <row r="171" spans="1:6" ht="38.25" x14ac:dyDescent="0.25">
      <c r="A171" s="164">
        <v>162</v>
      </c>
      <c r="B171" s="121" t="s">
        <v>795</v>
      </c>
      <c r="C171" s="164" t="s">
        <v>91</v>
      </c>
      <c r="D171" s="164">
        <v>3</v>
      </c>
      <c r="E171" s="122">
        <v>1687.5</v>
      </c>
      <c r="F171" s="123">
        <f t="shared" si="3"/>
        <v>5062.5</v>
      </c>
    </row>
    <row r="172" spans="1:6" ht="25.5" x14ac:dyDescent="0.25">
      <c r="A172" s="164">
        <v>163</v>
      </c>
      <c r="B172" s="121" t="s">
        <v>796</v>
      </c>
      <c r="C172" s="164" t="s">
        <v>91</v>
      </c>
      <c r="D172" s="164">
        <v>3</v>
      </c>
      <c r="E172" s="122">
        <v>3900</v>
      </c>
      <c r="F172" s="123">
        <f t="shared" si="3"/>
        <v>11700</v>
      </c>
    </row>
    <row r="173" spans="1:6" ht="63.75" x14ac:dyDescent="0.25">
      <c r="A173" s="164">
        <v>164</v>
      </c>
      <c r="B173" s="121" t="s">
        <v>797</v>
      </c>
      <c r="C173" s="164" t="s">
        <v>91</v>
      </c>
      <c r="D173" s="164">
        <v>120</v>
      </c>
      <c r="E173" s="122">
        <v>318.75</v>
      </c>
      <c r="F173" s="123">
        <f t="shared" si="3"/>
        <v>38250</v>
      </c>
    </row>
    <row r="174" spans="1:6" ht="38.25" x14ac:dyDescent="0.25">
      <c r="A174" s="164">
        <v>165</v>
      </c>
      <c r="B174" s="121" t="s">
        <v>798</v>
      </c>
      <c r="C174" s="164" t="s">
        <v>91</v>
      </c>
      <c r="D174" s="164">
        <v>30</v>
      </c>
      <c r="E174" s="122">
        <v>414</v>
      </c>
      <c r="F174" s="123">
        <f t="shared" si="3"/>
        <v>12420</v>
      </c>
    </row>
    <row r="175" spans="1:6" ht="38.25" x14ac:dyDescent="0.25">
      <c r="A175" s="164">
        <v>166</v>
      </c>
      <c r="B175" s="121" t="s">
        <v>799</v>
      </c>
      <c r="C175" s="164" t="s">
        <v>91</v>
      </c>
      <c r="D175" s="164">
        <v>30</v>
      </c>
      <c r="E175" s="122">
        <v>367.5</v>
      </c>
      <c r="F175" s="123">
        <f t="shared" si="3"/>
        <v>11025</v>
      </c>
    </row>
    <row r="176" spans="1:6" ht="38.25" x14ac:dyDescent="0.25">
      <c r="A176" s="164">
        <v>167</v>
      </c>
      <c r="B176" s="121" t="s">
        <v>800</v>
      </c>
      <c r="C176" s="164" t="s">
        <v>91</v>
      </c>
      <c r="D176" s="164">
        <v>15</v>
      </c>
      <c r="E176" s="122">
        <v>1162.5</v>
      </c>
      <c r="F176" s="123">
        <f t="shared" si="3"/>
        <v>17437.5</v>
      </c>
    </row>
    <row r="177" spans="1:6" x14ac:dyDescent="0.25">
      <c r="A177" s="164">
        <v>168</v>
      </c>
      <c r="B177" s="121" t="s">
        <v>801</v>
      </c>
      <c r="C177" s="164" t="s">
        <v>92</v>
      </c>
      <c r="D177" s="164">
        <v>900</v>
      </c>
      <c r="E177" s="122">
        <v>4.8</v>
      </c>
      <c r="F177" s="123">
        <f t="shared" si="3"/>
        <v>4320</v>
      </c>
    </row>
    <row r="178" spans="1:6" ht="25.5" x14ac:dyDescent="0.25">
      <c r="A178" s="164">
        <v>169</v>
      </c>
      <c r="B178" s="121" t="s">
        <v>802</v>
      </c>
      <c r="C178" s="164" t="s">
        <v>92</v>
      </c>
      <c r="D178" s="164">
        <v>900</v>
      </c>
      <c r="E178" s="122">
        <v>4.3499999999999996</v>
      </c>
      <c r="F178" s="123">
        <f t="shared" si="3"/>
        <v>3915</v>
      </c>
    </row>
    <row r="179" spans="1:6" x14ac:dyDescent="0.25">
      <c r="A179" s="379"/>
      <c r="B179" s="379" t="s">
        <v>288</v>
      </c>
      <c r="C179" s="379"/>
      <c r="D179" s="379"/>
      <c r="E179" s="124"/>
      <c r="F179" s="147">
        <f>SUM(F163:F178)</f>
        <v>128733.75</v>
      </c>
    </row>
    <row r="180" spans="1:6" x14ac:dyDescent="0.25">
      <c r="A180" s="1062" t="s">
        <v>116</v>
      </c>
      <c r="B180" s="1062"/>
      <c r="C180" s="1062"/>
      <c r="D180" s="1062"/>
      <c r="E180" s="169"/>
      <c r="F180" s="170"/>
    </row>
    <row r="181" spans="1:6" x14ac:dyDescent="0.25">
      <c r="A181" s="164">
        <v>170</v>
      </c>
      <c r="B181" s="121" t="s">
        <v>803</v>
      </c>
      <c r="C181" s="164" t="s">
        <v>91</v>
      </c>
      <c r="D181" s="164">
        <v>20</v>
      </c>
      <c r="E181" s="122">
        <v>1.0900000000000001</v>
      </c>
      <c r="F181" s="123">
        <f t="shared" ref="F181:F244" si="4">TRUNC(D181*E181,2)</f>
        <v>21.8</v>
      </c>
    </row>
    <row r="182" spans="1:6" x14ac:dyDescent="0.25">
      <c r="A182" s="164">
        <v>171</v>
      </c>
      <c r="B182" s="121" t="s">
        <v>804</v>
      </c>
      <c r="C182" s="164" t="s">
        <v>91</v>
      </c>
      <c r="D182" s="164">
        <v>20</v>
      </c>
      <c r="E182" s="122">
        <v>6.2</v>
      </c>
      <c r="F182" s="123">
        <f t="shared" si="4"/>
        <v>124</v>
      </c>
    </row>
    <row r="183" spans="1:6" x14ac:dyDescent="0.25">
      <c r="A183" s="164">
        <v>172</v>
      </c>
      <c r="B183" s="121" t="s">
        <v>805</v>
      </c>
      <c r="C183" s="164" t="s">
        <v>91</v>
      </c>
      <c r="D183" s="164">
        <v>10</v>
      </c>
      <c r="E183" s="122">
        <v>18.66</v>
      </c>
      <c r="F183" s="123">
        <f t="shared" si="4"/>
        <v>186.6</v>
      </c>
    </row>
    <row r="184" spans="1:6" x14ac:dyDescent="0.25">
      <c r="A184" s="164">
        <v>173</v>
      </c>
      <c r="B184" s="121" t="s">
        <v>499</v>
      </c>
      <c r="C184" s="164" t="s">
        <v>203</v>
      </c>
      <c r="D184" s="164">
        <v>5</v>
      </c>
      <c r="E184" s="122">
        <v>74.55</v>
      </c>
      <c r="F184" s="123">
        <f t="shared" si="4"/>
        <v>372.75</v>
      </c>
    </row>
    <row r="185" spans="1:6" x14ac:dyDescent="0.25">
      <c r="A185" s="164">
        <v>174</v>
      </c>
      <c r="B185" s="121" t="s">
        <v>498</v>
      </c>
      <c r="C185" s="164" t="s">
        <v>203</v>
      </c>
      <c r="D185" s="164">
        <v>5</v>
      </c>
      <c r="E185" s="122">
        <v>56.25</v>
      </c>
      <c r="F185" s="123">
        <f t="shared" si="4"/>
        <v>281.25</v>
      </c>
    </row>
    <row r="186" spans="1:6" x14ac:dyDescent="0.25">
      <c r="A186" s="164">
        <v>175</v>
      </c>
      <c r="B186" s="121" t="s">
        <v>806</v>
      </c>
      <c r="C186" s="164" t="s">
        <v>91</v>
      </c>
      <c r="D186" s="164">
        <v>30</v>
      </c>
      <c r="E186" s="122">
        <v>17.170000000000002</v>
      </c>
      <c r="F186" s="123">
        <f t="shared" si="4"/>
        <v>515.1</v>
      </c>
    </row>
    <row r="187" spans="1:6" x14ac:dyDescent="0.25">
      <c r="A187" s="164">
        <v>176</v>
      </c>
      <c r="B187" s="121" t="s">
        <v>807</v>
      </c>
      <c r="C187" s="164" t="s">
        <v>203</v>
      </c>
      <c r="D187" s="164">
        <v>5</v>
      </c>
      <c r="E187" s="122">
        <v>60.17</v>
      </c>
      <c r="F187" s="123">
        <f t="shared" si="4"/>
        <v>300.85000000000002</v>
      </c>
    </row>
    <row r="188" spans="1:6" x14ac:dyDescent="0.25">
      <c r="A188" s="164">
        <v>177</v>
      </c>
      <c r="B188" s="121" t="s">
        <v>515</v>
      </c>
      <c r="C188" s="164" t="s">
        <v>91</v>
      </c>
      <c r="D188" s="164">
        <v>10</v>
      </c>
      <c r="E188" s="122">
        <v>3.96</v>
      </c>
      <c r="F188" s="123">
        <f t="shared" si="4"/>
        <v>39.6</v>
      </c>
    </row>
    <row r="189" spans="1:6" x14ac:dyDescent="0.25">
      <c r="A189" s="164">
        <v>178</v>
      </c>
      <c r="B189" s="121" t="s">
        <v>516</v>
      </c>
      <c r="C189" s="164" t="s">
        <v>91</v>
      </c>
      <c r="D189" s="164">
        <v>10</v>
      </c>
      <c r="E189" s="122">
        <v>5.92</v>
      </c>
      <c r="F189" s="123">
        <f t="shared" si="4"/>
        <v>59.2</v>
      </c>
    </row>
    <row r="190" spans="1:6" x14ac:dyDescent="0.25">
      <c r="A190" s="164">
        <v>179</v>
      </c>
      <c r="B190" s="121" t="s">
        <v>808</v>
      </c>
      <c r="C190" s="164" t="s">
        <v>91</v>
      </c>
      <c r="D190" s="164">
        <v>200</v>
      </c>
      <c r="E190" s="122">
        <v>3.06</v>
      </c>
      <c r="F190" s="123">
        <f t="shared" si="4"/>
        <v>612</v>
      </c>
    </row>
    <row r="191" spans="1:6" x14ac:dyDescent="0.25">
      <c r="A191" s="164">
        <v>180</v>
      </c>
      <c r="B191" s="121" t="s">
        <v>809</v>
      </c>
      <c r="C191" s="164" t="s">
        <v>91</v>
      </c>
      <c r="D191" s="164">
        <v>30</v>
      </c>
      <c r="E191" s="122">
        <v>0.1</v>
      </c>
      <c r="F191" s="123">
        <f t="shared" si="4"/>
        <v>3</v>
      </c>
    </row>
    <row r="192" spans="1:6" x14ac:dyDescent="0.25">
      <c r="A192" s="164">
        <v>181</v>
      </c>
      <c r="B192" s="121" t="s">
        <v>810</v>
      </c>
      <c r="C192" s="164" t="s">
        <v>91</v>
      </c>
      <c r="D192" s="164">
        <v>20</v>
      </c>
      <c r="E192" s="122">
        <v>0.53</v>
      </c>
      <c r="F192" s="123">
        <f t="shared" si="4"/>
        <v>10.6</v>
      </c>
    </row>
    <row r="193" spans="1:6" x14ac:dyDescent="0.25">
      <c r="A193" s="164">
        <v>182</v>
      </c>
      <c r="B193" s="121" t="s">
        <v>811</v>
      </c>
      <c r="C193" s="164" t="s">
        <v>91</v>
      </c>
      <c r="D193" s="164">
        <v>10</v>
      </c>
      <c r="E193" s="122">
        <v>16.68</v>
      </c>
      <c r="F193" s="123">
        <f t="shared" si="4"/>
        <v>166.8</v>
      </c>
    </row>
    <row r="194" spans="1:6" x14ac:dyDescent="0.25">
      <c r="A194" s="164">
        <v>183</v>
      </c>
      <c r="B194" s="121" t="s">
        <v>812</v>
      </c>
      <c r="C194" s="164" t="s">
        <v>91</v>
      </c>
      <c r="D194" s="164">
        <v>20</v>
      </c>
      <c r="E194" s="122">
        <v>23.02</v>
      </c>
      <c r="F194" s="123">
        <f t="shared" si="4"/>
        <v>460.4</v>
      </c>
    </row>
    <row r="195" spans="1:6" x14ac:dyDescent="0.25">
      <c r="A195" s="164">
        <v>184</v>
      </c>
      <c r="B195" s="121" t="s">
        <v>500</v>
      </c>
      <c r="C195" s="164" t="s">
        <v>91</v>
      </c>
      <c r="D195" s="164">
        <v>10</v>
      </c>
      <c r="E195" s="122">
        <v>15.67</v>
      </c>
      <c r="F195" s="123">
        <f t="shared" si="4"/>
        <v>156.69999999999999</v>
      </c>
    </row>
    <row r="196" spans="1:6" x14ac:dyDescent="0.25">
      <c r="A196" s="164">
        <v>185</v>
      </c>
      <c r="B196" s="121" t="s">
        <v>813</v>
      </c>
      <c r="C196" s="164" t="s">
        <v>198</v>
      </c>
      <c r="D196" s="164">
        <v>10</v>
      </c>
      <c r="E196" s="122">
        <v>22.95</v>
      </c>
      <c r="F196" s="123">
        <f t="shared" si="4"/>
        <v>229.5</v>
      </c>
    </row>
    <row r="197" spans="1:6" x14ac:dyDescent="0.25">
      <c r="A197" s="164">
        <v>186</v>
      </c>
      <c r="B197" s="121" t="s">
        <v>814</v>
      </c>
      <c r="C197" s="164" t="s">
        <v>91</v>
      </c>
      <c r="D197" s="164">
        <v>10</v>
      </c>
      <c r="E197" s="122">
        <v>37.42</v>
      </c>
      <c r="F197" s="123">
        <f t="shared" si="4"/>
        <v>374.2</v>
      </c>
    </row>
    <row r="198" spans="1:6" x14ac:dyDescent="0.25">
      <c r="A198" s="164">
        <v>187</v>
      </c>
      <c r="B198" s="121" t="s">
        <v>815</v>
      </c>
      <c r="C198" s="164" t="s">
        <v>91</v>
      </c>
      <c r="D198" s="164">
        <v>30</v>
      </c>
      <c r="E198" s="122">
        <v>50.96</v>
      </c>
      <c r="F198" s="123">
        <f t="shared" si="4"/>
        <v>1528.8</v>
      </c>
    </row>
    <row r="199" spans="1:6" x14ac:dyDescent="0.25">
      <c r="A199" s="164">
        <v>188</v>
      </c>
      <c r="B199" s="121" t="s">
        <v>505</v>
      </c>
      <c r="C199" s="164" t="s">
        <v>202</v>
      </c>
      <c r="D199" s="164">
        <v>50</v>
      </c>
      <c r="E199" s="122">
        <v>7.81</v>
      </c>
      <c r="F199" s="123">
        <f t="shared" si="4"/>
        <v>390.5</v>
      </c>
    </row>
    <row r="200" spans="1:6" x14ac:dyDescent="0.25">
      <c r="A200" s="164">
        <v>189</v>
      </c>
      <c r="B200" s="121" t="s">
        <v>503</v>
      </c>
      <c r="C200" s="164" t="s">
        <v>198</v>
      </c>
      <c r="D200" s="164">
        <v>30</v>
      </c>
      <c r="E200" s="122">
        <v>0.34</v>
      </c>
      <c r="F200" s="123">
        <f t="shared" si="4"/>
        <v>10.199999999999999</v>
      </c>
    </row>
    <row r="201" spans="1:6" x14ac:dyDescent="0.25">
      <c r="A201" s="164">
        <v>190</v>
      </c>
      <c r="B201" s="121" t="s">
        <v>250</v>
      </c>
      <c r="C201" s="164" t="s">
        <v>91</v>
      </c>
      <c r="D201" s="164">
        <v>5</v>
      </c>
      <c r="E201" s="122">
        <v>3.47</v>
      </c>
      <c r="F201" s="123">
        <f t="shared" si="4"/>
        <v>17.350000000000001</v>
      </c>
    </row>
    <row r="202" spans="1:6" x14ac:dyDescent="0.25">
      <c r="A202" s="164">
        <v>191</v>
      </c>
      <c r="B202" s="121" t="s">
        <v>249</v>
      </c>
      <c r="C202" s="164" t="s">
        <v>91</v>
      </c>
      <c r="D202" s="164">
        <v>5</v>
      </c>
      <c r="E202" s="122">
        <v>20.88</v>
      </c>
      <c r="F202" s="123">
        <f t="shared" si="4"/>
        <v>104.4</v>
      </c>
    </row>
    <row r="203" spans="1:6" x14ac:dyDescent="0.25">
      <c r="A203" s="164">
        <v>192</v>
      </c>
      <c r="B203" s="121" t="s">
        <v>253</v>
      </c>
      <c r="C203" s="164" t="s">
        <v>91</v>
      </c>
      <c r="D203" s="164">
        <v>5</v>
      </c>
      <c r="E203" s="122">
        <v>0.76</v>
      </c>
      <c r="F203" s="123">
        <f t="shared" si="4"/>
        <v>3.8</v>
      </c>
    </row>
    <row r="204" spans="1:6" x14ac:dyDescent="0.25">
      <c r="A204" s="164">
        <v>193</v>
      </c>
      <c r="B204" s="121" t="s">
        <v>252</v>
      </c>
      <c r="C204" s="164" t="s">
        <v>91</v>
      </c>
      <c r="D204" s="164">
        <v>3</v>
      </c>
      <c r="E204" s="122">
        <v>1.03</v>
      </c>
      <c r="F204" s="123">
        <f t="shared" si="4"/>
        <v>3.09</v>
      </c>
    </row>
    <row r="205" spans="1:6" x14ac:dyDescent="0.25">
      <c r="A205" s="164">
        <v>194</v>
      </c>
      <c r="B205" s="121" t="s">
        <v>251</v>
      </c>
      <c r="C205" s="164" t="s">
        <v>91</v>
      </c>
      <c r="D205" s="164">
        <v>2</v>
      </c>
      <c r="E205" s="122">
        <v>2.64</v>
      </c>
      <c r="F205" s="123">
        <f t="shared" si="4"/>
        <v>5.28</v>
      </c>
    </row>
    <row r="206" spans="1:6" x14ac:dyDescent="0.25">
      <c r="A206" s="164">
        <v>195</v>
      </c>
      <c r="B206" s="121" t="s">
        <v>261</v>
      </c>
      <c r="C206" s="164" t="s">
        <v>91</v>
      </c>
      <c r="D206" s="164">
        <v>6</v>
      </c>
      <c r="E206" s="122">
        <v>0.22</v>
      </c>
      <c r="F206" s="123">
        <f t="shared" si="4"/>
        <v>1.32</v>
      </c>
    </row>
    <row r="207" spans="1:6" x14ac:dyDescent="0.25">
      <c r="A207" s="164">
        <v>196</v>
      </c>
      <c r="B207" s="121" t="s">
        <v>260</v>
      </c>
      <c r="C207" s="164" t="s">
        <v>91</v>
      </c>
      <c r="D207" s="164">
        <v>6</v>
      </c>
      <c r="E207" s="122">
        <v>0.33</v>
      </c>
      <c r="F207" s="123">
        <f t="shared" si="4"/>
        <v>1.98</v>
      </c>
    </row>
    <row r="208" spans="1:6" x14ac:dyDescent="0.25">
      <c r="A208" s="164">
        <v>197</v>
      </c>
      <c r="B208" s="121" t="s">
        <v>259</v>
      </c>
      <c r="C208" s="164" t="s">
        <v>91</v>
      </c>
      <c r="D208" s="164">
        <v>6</v>
      </c>
      <c r="E208" s="122">
        <v>0.87</v>
      </c>
      <c r="F208" s="123">
        <f t="shared" si="4"/>
        <v>5.22</v>
      </c>
    </row>
    <row r="209" spans="1:6" x14ac:dyDescent="0.25">
      <c r="A209" s="164">
        <v>198</v>
      </c>
      <c r="B209" s="121" t="s">
        <v>258</v>
      </c>
      <c r="C209" s="164" t="s">
        <v>91</v>
      </c>
      <c r="D209" s="164">
        <v>6</v>
      </c>
      <c r="E209" s="122">
        <v>2.13</v>
      </c>
      <c r="F209" s="123">
        <f t="shared" si="4"/>
        <v>12.78</v>
      </c>
    </row>
    <row r="210" spans="1:6" x14ac:dyDescent="0.25">
      <c r="A210" s="164">
        <v>199</v>
      </c>
      <c r="B210" s="121" t="s">
        <v>257</v>
      </c>
      <c r="C210" s="164" t="s">
        <v>91</v>
      </c>
      <c r="D210" s="164">
        <v>6</v>
      </c>
      <c r="E210" s="122">
        <v>2.37</v>
      </c>
      <c r="F210" s="123">
        <f t="shared" si="4"/>
        <v>14.22</v>
      </c>
    </row>
    <row r="211" spans="1:6" x14ac:dyDescent="0.25">
      <c r="A211" s="164">
        <v>200</v>
      </c>
      <c r="B211" s="121" t="s">
        <v>256</v>
      </c>
      <c r="C211" s="164" t="s">
        <v>91</v>
      </c>
      <c r="D211" s="164">
        <v>6</v>
      </c>
      <c r="E211" s="122">
        <v>10.83</v>
      </c>
      <c r="F211" s="123">
        <f t="shared" si="4"/>
        <v>64.98</v>
      </c>
    </row>
    <row r="212" spans="1:6" x14ac:dyDescent="0.25">
      <c r="A212" s="164">
        <v>201</v>
      </c>
      <c r="B212" s="121" t="s">
        <v>816</v>
      </c>
      <c r="C212" s="164" t="s">
        <v>91</v>
      </c>
      <c r="D212" s="164">
        <v>6</v>
      </c>
      <c r="E212" s="122">
        <v>38.67</v>
      </c>
      <c r="F212" s="123">
        <f t="shared" si="4"/>
        <v>232.02</v>
      </c>
    </row>
    <row r="213" spans="1:6" x14ac:dyDescent="0.25">
      <c r="A213" s="164">
        <v>202</v>
      </c>
      <c r="B213" s="121" t="s">
        <v>817</v>
      </c>
      <c r="C213" s="164" t="s">
        <v>91</v>
      </c>
      <c r="D213" s="164">
        <v>10</v>
      </c>
      <c r="E213" s="122">
        <v>0.8</v>
      </c>
      <c r="F213" s="123">
        <f t="shared" si="4"/>
        <v>8</v>
      </c>
    </row>
    <row r="214" spans="1:6" x14ac:dyDescent="0.25">
      <c r="A214" s="164">
        <v>203</v>
      </c>
      <c r="B214" s="121" t="s">
        <v>818</v>
      </c>
      <c r="C214" s="164" t="s">
        <v>91</v>
      </c>
      <c r="D214" s="164">
        <v>10</v>
      </c>
      <c r="E214" s="122">
        <v>156.03</v>
      </c>
      <c r="F214" s="123">
        <f t="shared" si="4"/>
        <v>1560.3</v>
      </c>
    </row>
    <row r="215" spans="1:6" x14ac:dyDescent="0.25">
      <c r="A215" s="164">
        <v>204</v>
      </c>
      <c r="B215" s="121" t="s">
        <v>819</v>
      </c>
      <c r="C215" s="164" t="s">
        <v>91</v>
      </c>
      <c r="D215" s="164">
        <v>20</v>
      </c>
      <c r="E215" s="122">
        <v>0.33</v>
      </c>
      <c r="F215" s="123">
        <f t="shared" si="4"/>
        <v>6.6</v>
      </c>
    </row>
    <row r="216" spans="1:6" x14ac:dyDescent="0.25">
      <c r="A216" s="164">
        <v>205</v>
      </c>
      <c r="B216" s="121" t="s">
        <v>820</v>
      </c>
      <c r="C216" s="164" t="s">
        <v>91</v>
      </c>
      <c r="D216" s="164">
        <v>20</v>
      </c>
      <c r="E216" s="122">
        <v>5.61</v>
      </c>
      <c r="F216" s="123">
        <f t="shared" si="4"/>
        <v>112.2</v>
      </c>
    </row>
    <row r="217" spans="1:6" x14ac:dyDescent="0.25">
      <c r="A217" s="164">
        <v>206</v>
      </c>
      <c r="B217" s="121" t="s">
        <v>502</v>
      </c>
      <c r="C217" s="164" t="s">
        <v>91</v>
      </c>
      <c r="D217" s="164">
        <v>4</v>
      </c>
      <c r="E217" s="122">
        <v>59.92</v>
      </c>
      <c r="F217" s="123">
        <f t="shared" si="4"/>
        <v>239.68</v>
      </c>
    </row>
    <row r="218" spans="1:6" x14ac:dyDescent="0.25">
      <c r="A218" s="164">
        <v>207</v>
      </c>
      <c r="B218" s="121" t="s">
        <v>821</v>
      </c>
      <c r="C218" s="164" t="s">
        <v>91</v>
      </c>
      <c r="D218" s="164">
        <v>10</v>
      </c>
      <c r="E218" s="122">
        <v>0.43</v>
      </c>
      <c r="F218" s="123">
        <f t="shared" si="4"/>
        <v>4.3</v>
      </c>
    </row>
    <row r="219" spans="1:6" x14ac:dyDescent="0.25">
      <c r="A219" s="164">
        <v>208</v>
      </c>
      <c r="B219" s="121" t="s">
        <v>822</v>
      </c>
      <c r="C219" s="164" t="s">
        <v>91</v>
      </c>
      <c r="D219" s="164">
        <v>10</v>
      </c>
      <c r="E219" s="122">
        <v>0.64</v>
      </c>
      <c r="F219" s="123">
        <f t="shared" si="4"/>
        <v>6.4</v>
      </c>
    </row>
    <row r="220" spans="1:6" x14ac:dyDescent="0.25">
      <c r="A220" s="164">
        <v>209</v>
      </c>
      <c r="B220" s="121" t="s">
        <v>823</v>
      </c>
      <c r="C220" s="164" t="s">
        <v>91</v>
      </c>
      <c r="D220" s="164">
        <v>10</v>
      </c>
      <c r="E220" s="122">
        <v>22.46</v>
      </c>
      <c r="F220" s="123">
        <f t="shared" si="4"/>
        <v>224.6</v>
      </c>
    </row>
    <row r="221" spans="1:6" x14ac:dyDescent="0.25">
      <c r="A221" s="164">
        <v>210</v>
      </c>
      <c r="B221" s="121" t="s">
        <v>824</v>
      </c>
      <c r="C221" s="164" t="s">
        <v>91</v>
      </c>
      <c r="D221" s="164">
        <v>10</v>
      </c>
      <c r="E221" s="122">
        <v>0.94</v>
      </c>
      <c r="F221" s="123">
        <f t="shared" si="4"/>
        <v>9.4</v>
      </c>
    </row>
    <row r="222" spans="1:6" x14ac:dyDescent="0.25">
      <c r="A222" s="164">
        <v>211</v>
      </c>
      <c r="B222" s="121" t="s">
        <v>506</v>
      </c>
      <c r="C222" s="164" t="s">
        <v>91</v>
      </c>
      <c r="D222" s="164">
        <v>190</v>
      </c>
      <c r="E222" s="122">
        <v>16.760000000000002</v>
      </c>
      <c r="F222" s="123">
        <f t="shared" si="4"/>
        <v>3184.4</v>
      </c>
    </row>
    <row r="223" spans="1:6" x14ac:dyDescent="0.25">
      <c r="A223" s="164">
        <v>212</v>
      </c>
      <c r="B223" s="121" t="s">
        <v>825</v>
      </c>
      <c r="C223" s="164" t="s">
        <v>91</v>
      </c>
      <c r="D223" s="164">
        <v>88</v>
      </c>
      <c r="E223" s="122">
        <v>88.74</v>
      </c>
      <c r="F223" s="123">
        <f t="shared" si="4"/>
        <v>7809.12</v>
      </c>
    </row>
    <row r="224" spans="1:6" x14ac:dyDescent="0.25">
      <c r="A224" s="164">
        <v>213</v>
      </c>
      <c r="B224" s="121" t="s">
        <v>27</v>
      </c>
      <c r="C224" s="164" t="s">
        <v>91</v>
      </c>
      <c r="D224" s="164">
        <v>24</v>
      </c>
      <c r="E224" s="122">
        <v>21.75</v>
      </c>
      <c r="F224" s="123">
        <f t="shared" si="4"/>
        <v>522</v>
      </c>
    </row>
    <row r="225" spans="1:6" x14ac:dyDescent="0.25">
      <c r="A225" s="164">
        <v>214</v>
      </c>
      <c r="B225" s="121" t="s">
        <v>826</v>
      </c>
      <c r="C225" s="164" t="s">
        <v>91</v>
      </c>
      <c r="D225" s="164">
        <v>24</v>
      </c>
      <c r="E225" s="122">
        <v>255.99</v>
      </c>
      <c r="F225" s="123">
        <f t="shared" si="4"/>
        <v>6143.76</v>
      </c>
    </row>
    <row r="226" spans="1:6" x14ac:dyDescent="0.25">
      <c r="A226" s="164">
        <v>215</v>
      </c>
      <c r="B226" s="121" t="s">
        <v>827</v>
      </c>
      <c r="C226" s="164" t="s">
        <v>91</v>
      </c>
      <c r="D226" s="164">
        <v>24</v>
      </c>
      <c r="E226" s="122">
        <v>51.99</v>
      </c>
      <c r="F226" s="123">
        <f t="shared" si="4"/>
        <v>1247.76</v>
      </c>
    </row>
    <row r="227" spans="1:6" x14ac:dyDescent="0.25">
      <c r="A227" s="164">
        <v>216</v>
      </c>
      <c r="B227" s="121" t="s">
        <v>828</v>
      </c>
      <c r="C227" s="164" t="s">
        <v>91</v>
      </c>
      <c r="D227" s="164">
        <v>20</v>
      </c>
      <c r="E227" s="122">
        <v>21.03</v>
      </c>
      <c r="F227" s="123">
        <f t="shared" si="4"/>
        <v>420.6</v>
      </c>
    </row>
    <row r="228" spans="1:6" x14ac:dyDescent="0.25">
      <c r="A228" s="164">
        <v>217</v>
      </c>
      <c r="B228" s="121" t="s">
        <v>829</v>
      </c>
      <c r="C228" s="164" t="s">
        <v>91</v>
      </c>
      <c r="D228" s="164">
        <v>20</v>
      </c>
      <c r="E228" s="122">
        <v>65.34</v>
      </c>
      <c r="F228" s="123">
        <f t="shared" si="4"/>
        <v>1306.8</v>
      </c>
    </row>
    <row r="229" spans="1:6" x14ac:dyDescent="0.25">
      <c r="A229" s="164">
        <v>218</v>
      </c>
      <c r="B229" s="121" t="s">
        <v>29</v>
      </c>
      <c r="C229" s="164" t="s">
        <v>91</v>
      </c>
      <c r="D229" s="164">
        <v>6</v>
      </c>
      <c r="E229" s="122">
        <v>4.8899999999999997</v>
      </c>
      <c r="F229" s="123">
        <f t="shared" si="4"/>
        <v>29.34</v>
      </c>
    </row>
    <row r="230" spans="1:6" x14ac:dyDescent="0.25">
      <c r="A230" s="164">
        <v>219</v>
      </c>
      <c r="B230" s="121" t="s">
        <v>830</v>
      </c>
      <c r="C230" s="164" t="s">
        <v>91</v>
      </c>
      <c r="D230" s="164">
        <v>100</v>
      </c>
      <c r="E230" s="122">
        <v>3.66</v>
      </c>
      <c r="F230" s="123">
        <f t="shared" si="4"/>
        <v>366</v>
      </c>
    </row>
    <row r="231" spans="1:6" x14ac:dyDescent="0.25">
      <c r="A231" s="164">
        <v>220</v>
      </c>
      <c r="B231" s="121" t="s">
        <v>831</v>
      </c>
      <c r="C231" s="164" t="s">
        <v>91</v>
      </c>
      <c r="D231" s="164">
        <v>30</v>
      </c>
      <c r="E231" s="122">
        <v>6.37</v>
      </c>
      <c r="F231" s="123">
        <f t="shared" si="4"/>
        <v>191.1</v>
      </c>
    </row>
    <row r="232" spans="1:6" x14ac:dyDescent="0.25">
      <c r="A232" s="164">
        <v>221</v>
      </c>
      <c r="B232" s="121" t="s">
        <v>309</v>
      </c>
      <c r="C232" s="164" t="s">
        <v>91</v>
      </c>
      <c r="D232" s="164">
        <v>10</v>
      </c>
      <c r="E232" s="122">
        <v>64.41</v>
      </c>
      <c r="F232" s="123">
        <f t="shared" si="4"/>
        <v>644.1</v>
      </c>
    </row>
    <row r="233" spans="1:6" x14ac:dyDescent="0.25">
      <c r="A233" s="164">
        <v>222</v>
      </c>
      <c r="B233" s="121" t="s">
        <v>832</v>
      </c>
      <c r="C233" s="164" t="s">
        <v>690</v>
      </c>
      <c r="D233" s="164">
        <v>120</v>
      </c>
      <c r="E233" s="122">
        <v>7.78</v>
      </c>
      <c r="F233" s="123">
        <f t="shared" si="4"/>
        <v>933.6</v>
      </c>
    </row>
    <row r="234" spans="1:6" x14ac:dyDescent="0.25">
      <c r="A234" s="164">
        <v>223</v>
      </c>
      <c r="B234" s="121" t="s">
        <v>833</v>
      </c>
      <c r="C234" s="164" t="s">
        <v>91</v>
      </c>
      <c r="D234" s="164">
        <v>10</v>
      </c>
      <c r="E234" s="122">
        <v>11.85</v>
      </c>
      <c r="F234" s="123">
        <f t="shared" si="4"/>
        <v>118.5</v>
      </c>
    </row>
    <row r="235" spans="1:6" x14ac:dyDescent="0.25">
      <c r="A235" s="164">
        <v>224</v>
      </c>
      <c r="B235" s="121" t="s">
        <v>834</v>
      </c>
      <c r="C235" s="164" t="s">
        <v>91</v>
      </c>
      <c r="D235" s="164">
        <v>40</v>
      </c>
      <c r="E235" s="122">
        <v>3.99</v>
      </c>
      <c r="F235" s="123">
        <f t="shared" si="4"/>
        <v>159.6</v>
      </c>
    </row>
    <row r="236" spans="1:6" ht="25.5" x14ac:dyDescent="0.25">
      <c r="A236" s="164">
        <v>225</v>
      </c>
      <c r="B236" s="121" t="s">
        <v>835</v>
      </c>
      <c r="C236" s="164" t="s">
        <v>91</v>
      </c>
      <c r="D236" s="164">
        <v>20</v>
      </c>
      <c r="E236" s="122">
        <v>16.28</v>
      </c>
      <c r="F236" s="123">
        <f t="shared" si="4"/>
        <v>325.60000000000002</v>
      </c>
    </row>
    <row r="237" spans="1:6" x14ac:dyDescent="0.25">
      <c r="A237" s="164">
        <v>226</v>
      </c>
      <c r="B237" s="121" t="s">
        <v>836</v>
      </c>
      <c r="C237" s="164" t="s">
        <v>91</v>
      </c>
      <c r="D237" s="164">
        <v>6</v>
      </c>
      <c r="E237" s="122">
        <v>6.42</v>
      </c>
      <c r="F237" s="123">
        <f t="shared" si="4"/>
        <v>38.520000000000003</v>
      </c>
    </row>
    <row r="238" spans="1:6" x14ac:dyDescent="0.25">
      <c r="A238" s="164">
        <v>227</v>
      </c>
      <c r="B238" s="121" t="s">
        <v>837</v>
      </c>
      <c r="C238" s="164" t="s">
        <v>91</v>
      </c>
      <c r="D238" s="164">
        <v>10</v>
      </c>
      <c r="E238" s="122">
        <v>1.33</v>
      </c>
      <c r="F238" s="123">
        <f t="shared" si="4"/>
        <v>13.3</v>
      </c>
    </row>
    <row r="239" spans="1:6" x14ac:dyDescent="0.25">
      <c r="A239" s="164">
        <v>228</v>
      </c>
      <c r="B239" s="121" t="s">
        <v>838</v>
      </c>
      <c r="C239" s="164" t="s">
        <v>91</v>
      </c>
      <c r="D239" s="164">
        <v>5</v>
      </c>
      <c r="E239" s="122">
        <v>42</v>
      </c>
      <c r="F239" s="123">
        <f t="shared" si="4"/>
        <v>210</v>
      </c>
    </row>
    <row r="240" spans="1:6" x14ac:dyDescent="0.25">
      <c r="A240" s="164">
        <v>229</v>
      </c>
      <c r="B240" s="121" t="s">
        <v>504</v>
      </c>
      <c r="C240" s="164" t="s">
        <v>734</v>
      </c>
      <c r="D240" s="164">
        <v>36</v>
      </c>
      <c r="E240" s="122">
        <v>16.53</v>
      </c>
      <c r="F240" s="123">
        <f t="shared" si="4"/>
        <v>595.08000000000004</v>
      </c>
    </row>
    <row r="241" spans="1:6" x14ac:dyDescent="0.25">
      <c r="A241" s="164">
        <v>230</v>
      </c>
      <c r="B241" s="121" t="s">
        <v>501</v>
      </c>
      <c r="C241" s="164" t="s">
        <v>734</v>
      </c>
      <c r="D241" s="164">
        <v>54</v>
      </c>
      <c r="E241" s="122">
        <v>30.1</v>
      </c>
      <c r="F241" s="123">
        <f t="shared" si="4"/>
        <v>1625.4</v>
      </c>
    </row>
    <row r="242" spans="1:6" x14ac:dyDescent="0.25">
      <c r="A242" s="164">
        <v>231</v>
      </c>
      <c r="B242" s="121" t="s">
        <v>474</v>
      </c>
      <c r="C242" s="164" t="s">
        <v>91</v>
      </c>
      <c r="D242" s="164">
        <v>15</v>
      </c>
      <c r="E242" s="122">
        <v>66.260000000000005</v>
      </c>
      <c r="F242" s="123">
        <f t="shared" si="4"/>
        <v>993.9</v>
      </c>
    </row>
    <row r="243" spans="1:6" x14ac:dyDescent="0.25">
      <c r="A243" s="164">
        <v>232</v>
      </c>
      <c r="B243" s="121" t="s">
        <v>103</v>
      </c>
      <c r="C243" s="164" t="s">
        <v>91</v>
      </c>
      <c r="D243" s="164">
        <v>6</v>
      </c>
      <c r="E243" s="122">
        <v>74.48</v>
      </c>
      <c r="F243" s="123">
        <f t="shared" si="4"/>
        <v>446.88</v>
      </c>
    </row>
    <row r="244" spans="1:6" x14ac:dyDescent="0.25">
      <c r="A244" s="164">
        <v>233</v>
      </c>
      <c r="B244" s="121" t="s">
        <v>32</v>
      </c>
      <c r="C244" s="164" t="s">
        <v>91</v>
      </c>
      <c r="D244" s="164">
        <v>2</v>
      </c>
      <c r="E244" s="122">
        <v>32.69</v>
      </c>
      <c r="F244" s="123">
        <f t="shared" si="4"/>
        <v>65.38</v>
      </c>
    </row>
    <row r="245" spans="1:6" x14ac:dyDescent="0.25">
      <c r="A245" s="164">
        <v>234</v>
      </c>
      <c r="B245" s="121" t="s">
        <v>31</v>
      </c>
      <c r="C245" s="164" t="s">
        <v>91</v>
      </c>
      <c r="D245" s="164">
        <v>6</v>
      </c>
      <c r="E245" s="122">
        <v>132.06</v>
      </c>
      <c r="F245" s="123">
        <f t="shared" ref="F245:F270" si="5">TRUNC(D245*E245,2)</f>
        <v>792.36</v>
      </c>
    </row>
    <row r="246" spans="1:6" ht="25.5" x14ac:dyDescent="0.25">
      <c r="A246" s="164">
        <v>235</v>
      </c>
      <c r="B246" s="121" t="s">
        <v>839</v>
      </c>
      <c r="C246" s="164" t="s">
        <v>91</v>
      </c>
      <c r="D246" s="164">
        <v>4</v>
      </c>
      <c r="E246" s="122">
        <v>40.89</v>
      </c>
      <c r="F246" s="123">
        <f t="shared" si="5"/>
        <v>163.56</v>
      </c>
    </row>
    <row r="247" spans="1:6" x14ac:dyDescent="0.25">
      <c r="A247" s="164">
        <v>236</v>
      </c>
      <c r="B247" s="121" t="s">
        <v>840</v>
      </c>
      <c r="C247" s="164" t="s">
        <v>91</v>
      </c>
      <c r="D247" s="164">
        <v>8</v>
      </c>
      <c r="E247" s="122">
        <v>69.19</v>
      </c>
      <c r="F247" s="123">
        <f t="shared" si="5"/>
        <v>553.52</v>
      </c>
    </row>
    <row r="248" spans="1:6" x14ac:dyDescent="0.25">
      <c r="A248" s="164">
        <v>237</v>
      </c>
      <c r="B248" s="121" t="s">
        <v>841</v>
      </c>
      <c r="C248" s="164" t="s">
        <v>91</v>
      </c>
      <c r="D248" s="164">
        <v>150</v>
      </c>
      <c r="E248" s="122">
        <v>190.41</v>
      </c>
      <c r="F248" s="123">
        <f t="shared" si="5"/>
        <v>28561.5</v>
      </c>
    </row>
    <row r="249" spans="1:6" x14ac:dyDescent="0.25">
      <c r="A249" s="164">
        <v>238</v>
      </c>
      <c r="B249" s="121" t="s">
        <v>842</v>
      </c>
      <c r="C249" s="164" t="s">
        <v>92</v>
      </c>
      <c r="D249" s="164">
        <v>6</v>
      </c>
      <c r="E249" s="122">
        <v>4.58</v>
      </c>
      <c r="F249" s="123">
        <f t="shared" si="5"/>
        <v>27.48</v>
      </c>
    </row>
    <row r="250" spans="1:6" x14ac:dyDescent="0.25">
      <c r="A250" s="164">
        <v>239</v>
      </c>
      <c r="B250" s="121" t="s">
        <v>843</v>
      </c>
      <c r="C250" s="164" t="s">
        <v>92</v>
      </c>
      <c r="D250" s="164">
        <v>6</v>
      </c>
      <c r="E250" s="122">
        <v>3.5</v>
      </c>
      <c r="F250" s="123">
        <f t="shared" si="5"/>
        <v>21</v>
      </c>
    </row>
    <row r="251" spans="1:6" x14ac:dyDescent="0.25">
      <c r="A251" s="164">
        <v>240</v>
      </c>
      <c r="B251" s="121" t="s">
        <v>844</v>
      </c>
      <c r="C251" s="164" t="s">
        <v>92</v>
      </c>
      <c r="D251" s="164">
        <v>6</v>
      </c>
      <c r="E251" s="122">
        <v>1.46</v>
      </c>
      <c r="F251" s="123">
        <f t="shared" si="5"/>
        <v>8.76</v>
      </c>
    </row>
    <row r="252" spans="1:6" x14ac:dyDescent="0.25">
      <c r="A252" s="164">
        <v>241</v>
      </c>
      <c r="B252" s="121" t="s">
        <v>845</v>
      </c>
      <c r="C252" s="164" t="s">
        <v>92</v>
      </c>
      <c r="D252" s="164">
        <v>6</v>
      </c>
      <c r="E252" s="122">
        <v>0.49</v>
      </c>
      <c r="F252" s="123">
        <f t="shared" si="5"/>
        <v>2.94</v>
      </c>
    </row>
    <row r="253" spans="1:6" x14ac:dyDescent="0.25">
      <c r="A253" s="164">
        <v>242</v>
      </c>
      <c r="B253" s="121" t="s">
        <v>846</v>
      </c>
      <c r="C253" s="164" t="s">
        <v>92</v>
      </c>
      <c r="D253" s="164">
        <v>6</v>
      </c>
      <c r="E253" s="122">
        <v>0.53</v>
      </c>
      <c r="F253" s="123">
        <f t="shared" si="5"/>
        <v>3.18</v>
      </c>
    </row>
    <row r="254" spans="1:6" x14ac:dyDescent="0.25">
      <c r="A254" s="164">
        <v>243</v>
      </c>
      <c r="B254" s="121" t="s">
        <v>847</v>
      </c>
      <c r="C254" s="164" t="s">
        <v>92</v>
      </c>
      <c r="D254" s="164">
        <v>6</v>
      </c>
      <c r="E254" s="122">
        <v>0.76</v>
      </c>
      <c r="F254" s="123">
        <f t="shared" si="5"/>
        <v>4.5599999999999996</v>
      </c>
    </row>
    <row r="255" spans="1:6" x14ac:dyDescent="0.25">
      <c r="A255" s="164">
        <v>244</v>
      </c>
      <c r="B255" s="121" t="s">
        <v>848</v>
      </c>
      <c r="C255" s="164" t="s">
        <v>92</v>
      </c>
      <c r="D255" s="164">
        <v>6</v>
      </c>
      <c r="E255" s="122">
        <v>1.5</v>
      </c>
      <c r="F255" s="123">
        <f t="shared" si="5"/>
        <v>9</v>
      </c>
    </row>
    <row r="256" spans="1:6" x14ac:dyDescent="0.25">
      <c r="A256" s="164">
        <v>245</v>
      </c>
      <c r="B256" s="121" t="s">
        <v>849</v>
      </c>
      <c r="C256" s="164" t="s">
        <v>92</v>
      </c>
      <c r="D256" s="164">
        <v>6</v>
      </c>
      <c r="E256" s="122">
        <v>2.79</v>
      </c>
      <c r="F256" s="123">
        <f t="shared" si="5"/>
        <v>16.739999999999998</v>
      </c>
    </row>
    <row r="257" spans="1:6" x14ac:dyDescent="0.25">
      <c r="A257" s="164">
        <v>246</v>
      </c>
      <c r="B257" s="121" t="s">
        <v>850</v>
      </c>
      <c r="C257" s="164" t="s">
        <v>92</v>
      </c>
      <c r="D257" s="164">
        <v>6</v>
      </c>
      <c r="E257" s="122">
        <v>4.2699999999999996</v>
      </c>
      <c r="F257" s="123">
        <f t="shared" si="5"/>
        <v>25.62</v>
      </c>
    </row>
    <row r="258" spans="1:6" x14ac:dyDescent="0.25">
      <c r="A258" s="164">
        <v>247</v>
      </c>
      <c r="B258" s="121" t="s">
        <v>851</v>
      </c>
      <c r="C258" s="164" t="s">
        <v>92</v>
      </c>
      <c r="D258" s="164">
        <v>6</v>
      </c>
      <c r="E258" s="122">
        <v>7.89</v>
      </c>
      <c r="F258" s="123">
        <f t="shared" si="5"/>
        <v>47.34</v>
      </c>
    </row>
    <row r="259" spans="1:6" x14ac:dyDescent="0.25">
      <c r="A259" s="164">
        <v>248</v>
      </c>
      <c r="B259" s="121" t="s">
        <v>852</v>
      </c>
      <c r="C259" s="164" t="s">
        <v>92</v>
      </c>
      <c r="D259" s="164">
        <v>6</v>
      </c>
      <c r="E259" s="122">
        <v>17.8</v>
      </c>
      <c r="F259" s="123">
        <f t="shared" si="5"/>
        <v>106.8</v>
      </c>
    </row>
    <row r="260" spans="1:6" x14ac:dyDescent="0.25">
      <c r="A260" s="164">
        <v>249</v>
      </c>
      <c r="B260" s="121" t="s">
        <v>134</v>
      </c>
      <c r="C260" s="164" t="s">
        <v>92</v>
      </c>
      <c r="D260" s="164">
        <v>6</v>
      </c>
      <c r="E260" s="122">
        <v>5.49</v>
      </c>
      <c r="F260" s="123">
        <f t="shared" si="5"/>
        <v>32.94</v>
      </c>
    </row>
    <row r="261" spans="1:6" x14ac:dyDescent="0.25">
      <c r="A261" s="164">
        <v>250</v>
      </c>
      <c r="B261" s="121" t="s">
        <v>135</v>
      </c>
      <c r="C261" s="164" t="s">
        <v>92</v>
      </c>
      <c r="D261" s="164">
        <v>6</v>
      </c>
      <c r="E261" s="122">
        <v>13.03</v>
      </c>
      <c r="F261" s="123">
        <f t="shared" si="5"/>
        <v>78.180000000000007</v>
      </c>
    </row>
    <row r="262" spans="1:6" x14ac:dyDescent="0.25">
      <c r="A262" s="164">
        <v>251</v>
      </c>
      <c r="B262" s="121" t="s">
        <v>136</v>
      </c>
      <c r="C262" s="164" t="s">
        <v>92</v>
      </c>
      <c r="D262" s="164">
        <v>6</v>
      </c>
      <c r="E262" s="122">
        <v>2.0699999999999998</v>
      </c>
      <c r="F262" s="123">
        <f t="shared" si="5"/>
        <v>12.42</v>
      </c>
    </row>
    <row r="263" spans="1:6" x14ac:dyDescent="0.25">
      <c r="A263" s="164">
        <v>252</v>
      </c>
      <c r="B263" s="121" t="s">
        <v>137</v>
      </c>
      <c r="C263" s="164" t="s">
        <v>92</v>
      </c>
      <c r="D263" s="164">
        <v>6</v>
      </c>
      <c r="E263" s="122">
        <v>3.57</v>
      </c>
      <c r="F263" s="123">
        <f t="shared" si="5"/>
        <v>21.42</v>
      </c>
    </row>
    <row r="264" spans="1:6" x14ac:dyDescent="0.25">
      <c r="A264" s="164">
        <v>253</v>
      </c>
      <c r="B264" s="121" t="s">
        <v>138</v>
      </c>
      <c r="C264" s="164" t="s">
        <v>92</v>
      </c>
      <c r="D264" s="164">
        <v>6</v>
      </c>
      <c r="E264" s="122">
        <v>4.83</v>
      </c>
      <c r="F264" s="123">
        <f t="shared" si="5"/>
        <v>28.98</v>
      </c>
    </row>
    <row r="265" spans="1:6" x14ac:dyDescent="0.25">
      <c r="A265" s="164">
        <v>254</v>
      </c>
      <c r="B265" s="121" t="s">
        <v>104</v>
      </c>
      <c r="C265" s="164" t="s">
        <v>91</v>
      </c>
      <c r="D265" s="164">
        <v>2</v>
      </c>
      <c r="E265" s="122">
        <v>108.12</v>
      </c>
      <c r="F265" s="123">
        <f t="shared" si="5"/>
        <v>216.24</v>
      </c>
    </row>
    <row r="266" spans="1:6" x14ac:dyDescent="0.25">
      <c r="A266" s="164">
        <v>255</v>
      </c>
      <c r="B266" s="121" t="s">
        <v>105</v>
      </c>
      <c r="C266" s="164" t="s">
        <v>91</v>
      </c>
      <c r="D266" s="164">
        <v>3</v>
      </c>
      <c r="E266" s="122">
        <v>69.39</v>
      </c>
      <c r="F266" s="123">
        <f t="shared" si="5"/>
        <v>208.17</v>
      </c>
    </row>
    <row r="267" spans="1:6" ht="25.5" x14ac:dyDescent="0.25">
      <c r="A267" s="164">
        <v>256</v>
      </c>
      <c r="B267" s="121" t="s">
        <v>853</v>
      </c>
      <c r="C267" s="164" t="s">
        <v>91</v>
      </c>
      <c r="D267" s="164">
        <v>50</v>
      </c>
      <c r="E267" s="122">
        <v>102.77</v>
      </c>
      <c r="F267" s="123">
        <f t="shared" si="5"/>
        <v>5138.5</v>
      </c>
    </row>
    <row r="268" spans="1:6" x14ac:dyDescent="0.25">
      <c r="A268" s="164">
        <v>257</v>
      </c>
      <c r="B268" s="121" t="s">
        <v>854</v>
      </c>
      <c r="C268" s="164" t="s">
        <v>91</v>
      </c>
      <c r="D268" s="164">
        <v>10</v>
      </c>
      <c r="E268" s="122">
        <v>74.349999999999994</v>
      </c>
      <c r="F268" s="123">
        <f t="shared" si="5"/>
        <v>743.5</v>
      </c>
    </row>
    <row r="269" spans="1:6" x14ac:dyDescent="0.25">
      <c r="A269" s="164">
        <v>258</v>
      </c>
      <c r="B269" s="121" t="s">
        <v>38</v>
      </c>
      <c r="C269" s="164" t="s">
        <v>91</v>
      </c>
      <c r="D269" s="164">
        <v>2</v>
      </c>
      <c r="E269" s="122">
        <v>143.1</v>
      </c>
      <c r="F269" s="123">
        <f t="shared" si="5"/>
        <v>286.2</v>
      </c>
    </row>
    <row r="270" spans="1:6" x14ac:dyDescent="0.25">
      <c r="A270" s="164">
        <v>259</v>
      </c>
      <c r="B270" s="121" t="s">
        <v>39</v>
      </c>
      <c r="C270" s="164" t="s">
        <v>91</v>
      </c>
      <c r="D270" s="164">
        <v>6</v>
      </c>
      <c r="E270" s="122">
        <v>31.86</v>
      </c>
      <c r="F270" s="123">
        <f t="shared" si="5"/>
        <v>191.16</v>
      </c>
    </row>
    <row r="271" spans="1:6" x14ac:dyDescent="0.25">
      <c r="A271" s="1061" t="s">
        <v>289</v>
      </c>
      <c r="B271" s="1061"/>
      <c r="C271" s="1061"/>
      <c r="D271" s="1061"/>
      <c r="E271" s="124"/>
      <c r="F271" s="147">
        <f>SUM(F180:F270)</f>
        <v>73174.579999999958</v>
      </c>
    </row>
    <row r="272" spans="1:6" x14ac:dyDescent="0.25">
      <c r="A272" s="1062" t="s">
        <v>295</v>
      </c>
      <c r="B272" s="1062"/>
      <c r="C272" s="1062"/>
      <c r="D272" s="1062"/>
      <c r="E272" s="169"/>
      <c r="F272" s="170"/>
    </row>
    <row r="273" spans="1:6" x14ac:dyDescent="0.25">
      <c r="A273" s="164">
        <v>260</v>
      </c>
      <c r="B273" s="121" t="s">
        <v>215</v>
      </c>
      <c r="C273" s="164" t="s">
        <v>91</v>
      </c>
      <c r="D273" s="164">
        <v>1</v>
      </c>
      <c r="E273" s="122">
        <v>395.25</v>
      </c>
      <c r="F273" s="123">
        <f t="shared" ref="F273:F288" si="6">TRUNC(D273*E273,2)</f>
        <v>395.25</v>
      </c>
    </row>
    <row r="274" spans="1:6" x14ac:dyDescent="0.25">
      <c r="A274" s="164">
        <v>261</v>
      </c>
      <c r="B274" s="121" t="s">
        <v>226</v>
      </c>
      <c r="C274" s="164" t="s">
        <v>91</v>
      </c>
      <c r="D274" s="164">
        <v>2</v>
      </c>
      <c r="E274" s="122">
        <v>942.1</v>
      </c>
      <c r="F274" s="123">
        <f t="shared" si="6"/>
        <v>1884.2</v>
      </c>
    </row>
    <row r="275" spans="1:6" x14ac:dyDescent="0.25">
      <c r="A275" s="164">
        <v>262</v>
      </c>
      <c r="B275" s="121" t="s">
        <v>467</v>
      </c>
      <c r="C275" s="164" t="s">
        <v>91</v>
      </c>
      <c r="D275" s="164">
        <v>1</v>
      </c>
      <c r="E275" s="122">
        <v>343.41</v>
      </c>
      <c r="F275" s="123">
        <f t="shared" si="6"/>
        <v>343.41</v>
      </c>
    </row>
    <row r="276" spans="1:6" x14ac:dyDescent="0.25">
      <c r="A276" s="164">
        <v>263</v>
      </c>
      <c r="B276" s="121" t="s">
        <v>497</v>
      </c>
      <c r="C276" s="164" t="s">
        <v>91</v>
      </c>
      <c r="D276" s="164">
        <v>2</v>
      </c>
      <c r="E276" s="122">
        <v>1164.58</v>
      </c>
      <c r="F276" s="123">
        <f t="shared" si="6"/>
        <v>2329.16</v>
      </c>
    </row>
    <row r="277" spans="1:6" x14ac:dyDescent="0.25">
      <c r="A277" s="164">
        <v>264</v>
      </c>
      <c r="B277" s="121" t="s">
        <v>855</v>
      </c>
      <c r="C277" s="164" t="s">
        <v>91</v>
      </c>
      <c r="D277" s="164">
        <v>1</v>
      </c>
      <c r="E277" s="122">
        <v>1891.15</v>
      </c>
      <c r="F277" s="123">
        <f t="shared" si="6"/>
        <v>1891.15</v>
      </c>
    </row>
    <row r="278" spans="1:6" x14ac:dyDescent="0.25">
      <c r="A278" s="164">
        <v>265</v>
      </c>
      <c r="B278" s="121" t="s">
        <v>468</v>
      </c>
      <c r="C278" s="164" t="s">
        <v>91</v>
      </c>
      <c r="D278" s="164">
        <v>1</v>
      </c>
      <c r="E278" s="122">
        <v>531.07000000000005</v>
      </c>
      <c r="F278" s="123">
        <f t="shared" si="6"/>
        <v>531.07000000000005</v>
      </c>
    </row>
    <row r="279" spans="1:6" x14ac:dyDescent="0.25">
      <c r="A279" s="164">
        <v>266</v>
      </c>
      <c r="B279" s="121" t="s">
        <v>469</v>
      </c>
      <c r="C279" s="164" t="s">
        <v>91</v>
      </c>
      <c r="D279" s="164">
        <v>4</v>
      </c>
      <c r="E279" s="122">
        <v>500.75</v>
      </c>
      <c r="F279" s="123">
        <f t="shared" si="6"/>
        <v>2003</v>
      </c>
    </row>
    <row r="280" spans="1:6" x14ac:dyDescent="0.25">
      <c r="A280" s="164">
        <v>267</v>
      </c>
      <c r="B280" s="121" t="s">
        <v>475</v>
      </c>
      <c r="C280" s="164" t="s">
        <v>91</v>
      </c>
      <c r="D280" s="164">
        <v>3</v>
      </c>
      <c r="E280" s="122">
        <v>546.02</v>
      </c>
      <c r="F280" s="123">
        <f t="shared" si="6"/>
        <v>1638.06</v>
      </c>
    </row>
    <row r="281" spans="1:6" x14ac:dyDescent="0.25">
      <c r="A281" s="164">
        <v>268</v>
      </c>
      <c r="B281" s="121" t="s">
        <v>470</v>
      </c>
      <c r="C281" s="164" t="s">
        <v>91</v>
      </c>
      <c r="D281" s="164">
        <v>2</v>
      </c>
      <c r="E281" s="122">
        <v>585.87</v>
      </c>
      <c r="F281" s="123">
        <f t="shared" si="6"/>
        <v>1171.74</v>
      </c>
    </row>
    <row r="282" spans="1:6" x14ac:dyDescent="0.25">
      <c r="A282" s="164">
        <v>269</v>
      </c>
      <c r="B282" s="121" t="s">
        <v>856</v>
      </c>
      <c r="C282" s="164" t="s">
        <v>91</v>
      </c>
      <c r="D282" s="164">
        <v>2</v>
      </c>
      <c r="E282" s="122">
        <v>943.92</v>
      </c>
      <c r="F282" s="123">
        <f t="shared" si="6"/>
        <v>1887.84</v>
      </c>
    </row>
    <row r="283" spans="1:6" x14ac:dyDescent="0.25">
      <c r="A283" s="164">
        <v>270</v>
      </c>
      <c r="B283" s="121" t="s">
        <v>471</v>
      </c>
      <c r="C283" s="164" t="s">
        <v>91</v>
      </c>
      <c r="D283" s="164">
        <v>2</v>
      </c>
      <c r="E283" s="122">
        <v>1751.75</v>
      </c>
      <c r="F283" s="123">
        <f t="shared" si="6"/>
        <v>3503.5</v>
      </c>
    </row>
    <row r="284" spans="1:6" x14ac:dyDescent="0.25">
      <c r="A284" s="164">
        <v>271</v>
      </c>
      <c r="B284" s="121" t="s">
        <v>472</v>
      </c>
      <c r="C284" s="164" t="s">
        <v>91</v>
      </c>
      <c r="D284" s="164">
        <v>2</v>
      </c>
      <c r="E284" s="122">
        <v>1673.28</v>
      </c>
      <c r="F284" s="123">
        <f t="shared" si="6"/>
        <v>3346.56</v>
      </c>
    </row>
    <row r="285" spans="1:6" x14ac:dyDescent="0.25">
      <c r="A285" s="164">
        <v>272</v>
      </c>
      <c r="B285" s="121" t="s">
        <v>262</v>
      </c>
      <c r="C285" s="164" t="s">
        <v>91</v>
      </c>
      <c r="D285" s="164">
        <v>1</v>
      </c>
      <c r="E285" s="122">
        <v>2128.44</v>
      </c>
      <c r="F285" s="123">
        <f t="shared" si="6"/>
        <v>2128.44</v>
      </c>
    </row>
    <row r="286" spans="1:6" x14ac:dyDescent="0.25">
      <c r="A286" s="164">
        <v>273</v>
      </c>
      <c r="B286" s="121" t="s">
        <v>857</v>
      </c>
      <c r="C286" s="164" t="s">
        <v>91</v>
      </c>
      <c r="D286" s="164">
        <v>1</v>
      </c>
      <c r="E286" s="122">
        <v>527.49</v>
      </c>
      <c r="F286" s="123">
        <f t="shared" si="6"/>
        <v>527.49</v>
      </c>
    </row>
    <row r="287" spans="1:6" x14ac:dyDescent="0.25">
      <c r="A287" s="164">
        <v>274</v>
      </c>
      <c r="B287" s="121" t="s">
        <v>858</v>
      </c>
      <c r="C287" s="164" t="s">
        <v>91</v>
      </c>
      <c r="D287" s="164">
        <v>1</v>
      </c>
      <c r="E287" s="122">
        <v>706.96</v>
      </c>
      <c r="F287" s="123">
        <f t="shared" si="6"/>
        <v>706.96</v>
      </c>
    </row>
    <row r="288" spans="1:6" x14ac:dyDescent="0.25">
      <c r="A288" s="164">
        <v>275</v>
      </c>
      <c r="B288" s="121" t="s">
        <v>859</v>
      </c>
      <c r="C288" s="164" t="s">
        <v>91</v>
      </c>
      <c r="D288" s="164">
        <v>1</v>
      </c>
      <c r="E288" s="122">
        <v>1331.94</v>
      </c>
      <c r="F288" s="123">
        <f t="shared" si="6"/>
        <v>1331.94</v>
      </c>
    </row>
    <row r="289" spans="1:6" x14ac:dyDescent="0.25">
      <c r="A289" s="1061" t="s">
        <v>290</v>
      </c>
      <c r="B289" s="1061"/>
      <c r="C289" s="1061"/>
      <c r="D289" s="1061"/>
      <c r="E289" s="124"/>
      <c r="F289" s="147">
        <f>SUM(F272:F288)</f>
        <v>25619.769999999997</v>
      </c>
    </row>
    <row r="290" spans="1:6" x14ac:dyDescent="0.25">
      <c r="A290" s="1062" t="s">
        <v>521</v>
      </c>
      <c r="B290" s="1062"/>
      <c r="C290" s="1062"/>
      <c r="D290" s="1062"/>
      <c r="E290" s="169"/>
      <c r="F290" s="170"/>
    </row>
    <row r="291" spans="1:6" x14ac:dyDescent="0.25">
      <c r="A291" s="164">
        <v>276</v>
      </c>
      <c r="B291" s="121" t="s">
        <v>519</v>
      </c>
      <c r="C291" s="164" t="s">
        <v>91</v>
      </c>
      <c r="D291" s="164">
        <v>6</v>
      </c>
      <c r="E291" s="122">
        <v>360.93</v>
      </c>
      <c r="F291" s="123">
        <f t="shared" ref="F291:F294" si="7">TRUNC(D291*E291,2)</f>
        <v>2165.58</v>
      </c>
    </row>
    <row r="292" spans="1:6" x14ac:dyDescent="0.25">
      <c r="A292" s="164">
        <v>277</v>
      </c>
      <c r="B292" s="121" t="s">
        <v>518</v>
      </c>
      <c r="C292" s="164" t="s">
        <v>91</v>
      </c>
      <c r="D292" s="164">
        <v>4</v>
      </c>
      <c r="E292" s="122">
        <v>58.5</v>
      </c>
      <c r="F292" s="123">
        <f t="shared" si="7"/>
        <v>234</v>
      </c>
    </row>
    <row r="293" spans="1:6" x14ac:dyDescent="0.25">
      <c r="A293" s="164">
        <v>278</v>
      </c>
      <c r="B293" s="121" t="s">
        <v>520</v>
      </c>
      <c r="C293" s="164" t="s">
        <v>91</v>
      </c>
      <c r="D293" s="164">
        <v>8</v>
      </c>
      <c r="E293" s="122">
        <v>382.99</v>
      </c>
      <c r="F293" s="123">
        <f t="shared" si="7"/>
        <v>3063.92</v>
      </c>
    </row>
    <row r="294" spans="1:6" x14ac:dyDescent="0.25">
      <c r="A294" s="164">
        <v>279</v>
      </c>
      <c r="B294" s="121" t="s">
        <v>517</v>
      </c>
      <c r="C294" s="164" t="s">
        <v>91</v>
      </c>
      <c r="D294" s="164">
        <v>2</v>
      </c>
      <c r="E294" s="122">
        <v>333.99</v>
      </c>
      <c r="F294" s="123">
        <f t="shared" si="7"/>
        <v>667.98</v>
      </c>
    </row>
    <row r="295" spans="1:6" x14ac:dyDescent="0.25">
      <c r="A295" s="1061" t="s">
        <v>291</v>
      </c>
      <c r="B295" s="1061"/>
      <c r="C295" s="1061"/>
      <c r="D295" s="1061"/>
      <c r="E295" s="124"/>
      <c r="F295" s="147">
        <f>SUM(F290:F294)</f>
        <v>6131.48</v>
      </c>
    </row>
    <row r="296" spans="1:6" x14ac:dyDescent="0.25">
      <c r="A296" s="1062" t="s">
        <v>428</v>
      </c>
      <c r="B296" s="1062"/>
      <c r="C296" s="1062"/>
      <c r="D296" s="1062"/>
      <c r="E296" s="169"/>
      <c r="F296" s="170"/>
    </row>
    <row r="297" spans="1:6" x14ac:dyDescent="0.25">
      <c r="A297" s="164">
        <v>280</v>
      </c>
      <c r="B297" s="121" t="s">
        <v>486</v>
      </c>
      <c r="C297" s="164" t="s">
        <v>91</v>
      </c>
      <c r="D297" s="164">
        <v>4</v>
      </c>
      <c r="E297" s="122">
        <v>10.61</v>
      </c>
      <c r="F297" s="123">
        <f t="shared" ref="F297:F321" si="8">TRUNC(D297*E297,2)</f>
        <v>42.44</v>
      </c>
    </row>
    <row r="298" spans="1:6" x14ac:dyDescent="0.25">
      <c r="A298" s="164">
        <v>281</v>
      </c>
      <c r="B298" s="121" t="s">
        <v>485</v>
      </c>
      <c r="C298" s="164" t="s">
        <v>91</v>
      </c>
      <c r="D298" s="164">
        <v>4</v>
      </c>
      <c r="E298" s="122">
        <v>3.78</v>
      </c>
      <c r="F298" s="123">
        <f t="shared" si="8"/>
        <v>15.12</v>
      </c>
    </row>
    <row r="299" spans="1:6" x14ac:dyDescent="0.25">
      <c r="A299" s="164">
        <v>282</v>
      </c>
      <c r="B299" s="121" t="s">
        <v>483</v>
      </c>
      <c r="C299" s="164" t="s">
        <v>91</v>
      </c>
      <c r="D299" s="164">
        <v>4</v>
      </c>
      <c r="E299" s="122">
        <v>283.20999999999998</v>
      </c>
      <c r="F299" s="123">
        <f t="shared" si="8"/>
        <v>1132.8399999999999</v>
      </c>
    </row>
    <row r="300" spans="1:6" x14ac:dyDescent="0.25">
      <c r="A300" s="164">
        <v>283</v>
      </c>
      <c r="B300" s="121" t="s">
        <v>860</v>
      </c>
      <c r="C300" s="164" t="s">
        <v>734</v>
      </c>
      <c r="D300" s="164">
        <v>50</v>
      </c>
      <c r="E300" s="122">
        <v>2.54</v>
      </c>
      <c r="F300" s="123">
        <f t="shared" si="8"/>
        <v>127</v>
      </c>
    </row>
    <row r="301" spans="1:6" x14ac:dyDescent="0.25">
      <c r="A301" s="164">
        <v>284</v>
      </c>
      <c r="B301" s="121" t="s">
        <v>861</v>
      </c>
      <c r="C301" s="164" t="s">
        <v>91</v>
      </c>
      <c r="D301" s="164">
        <v>1</v>
      </c>
      <c r="E301" s="122">
        <v>4234.4399999999996</v>
      </c>
      <c r="F301" s="123">
        <f t="shared" si="8"/>
        <v>4234.4399999999996</v>
      </c>
    </row>
    <row r="302" spans="1:6" x14ac:dyDescent="0.25">
      <c r="A302" s="164">
        <v>285</v>
      </c>
      <c r="B302" s="121" t="s">
        <v>862</v>
      </c>
      <c r="C302" s="164" t="s">
        <v>91</v>
      </c>
      <c r="D302" s="164">
        <v>4</v>
      </c>
      <c r="E302" s="122">
        <v>1061.8699999999999</v>
      </c>
      <c r="F302" s="123">
        <f t="shared" si="8"/>
        <v>4247.4799999999996</v>
      </c>
    </row>
    <row r="303" spans="1:6" x14ac:dyDescent="0.25">
      <c r="A303" s="164">
        <v>286</v>
      </c>
      <c r="B303" s="121" t="s">
        <v>490</v>
      </c>
      <c r="C303" s="164" t="s">
        <v>91</v>
      </c>
      <c r="D303" s="164">
        <v>1</v>
      </c>
      <c r="E303" s="122">
        <v>3091.29</v>
      </c>
      <c r="F303" s="123">
        <f t="shared" si="8"/>
        <v>3091.29</v>
      </c>
    </row>
    <row r="304" spans="1:6" x14ac:dyDescent="0.25">
      <c r="A304" s="164">
        <v>287</v>
      </c>
      <c r="B304" s="121" t="s">
        <v>863</v>
      </c>
      <c r="C304" s="164" t="s">
        <v>91</v>
      </c>
      <c r="D304" s="164">
        <v>4</v>
      </c>
      <c r="E304" s="122">
        <v>100.03</v>
      </c>
      <c r="F304" s="123">
        <f t="shared" si="8"/>
        <v>400.12</v>
      </c>
    </row>
    <row r="305" spans="1:6" x14ac:dyDescent="0.25">
      <c r="A305" s="164">
        <v>288</v>
      </c>
      <c r="B305" s="121" t="s">
        <v>484</v>
      </c>
      <c r="C305" s="164" t="s">
        <v>91</v>
      </c>
      <c r="D305" s="164">
        <v>4</v>
      </c>
      <c r="E305" s="122">
        <v>393.71</v>
      </c>
      <c r="F305" s="123">
        <f t="shared" si="8"/>
        <v>1574.84</v>
      </c>
    </row>
    <row r="306" spans="1:6" x14ac:dyDescent="0.25">
      <c r="A306" s="164">
        <v>289</v>
      </c>
      <c r="B306" s="121" t="s">
        <v>864</v>
      </c>
      <c r="C306" s="164" t="s">
        <v>734</v>
      </c>
      <c r="D306" s="164">
        <v>50</v>
      </c>
      <c r="E306" s="122">
        <v>3.17</v>
      </c>
      <c r="F306" s="123">
        <f t="shared" si="8"/>
        <v>158.5</v>
      </c>
    </row>
    <row r="307" spans="1:6" x14ac:dyDescent="0.25">
      <c r="A307" s="164">
        <v>290</v>
      </c>
      <c r="B307" s="121" t="s">
        <v>865</v>
      </c>
      <c r="C307" s="164" t="s">
        <v>91</v>
      </c>
      <c r="D307" s="164">
        <v>10</v>
      </c>
      <c r="E307" s="122">
        <v>24.59</v>
      </c>
      <c r="F307" s="123">
        <f t="shared" si="8"/>
        <v>245.9</v>
      </c>
    </row>
    <row r="308" spans="1:6" x14ac:dyDescent="0.25">
      <c r="A308" s="164">
        <v>291</v>
      </c>
      <c r="B308" s="121" t="s">
        <v>478</v>
      </c>
      <c r="C308" s="164" t="s">
        <v>91</v>
      </c>
      <c r="D308" s="164">
        <v>4</v>
      </c>
      <c r="E308" s="122">
        <v>248.02</v>
      </c>
      <c r="F308" s="123">
        <f t="shared" si="8"/>
        <v>992.08</v>
      </c>
    </row>
    <row r="309" spans="1:6" x14ac:dyDescent="0.25">
      <c r="A309" s="164">
        <v>292</v>
      </c>
      <c r="B309" s="121" t="s">
        <v>477</v>
      </c>
      <c r="C309" s="164" t="s">
        <v>91</v>
      </c>
      <c r="D309" s="164">
        <v>4</v>
      </c>
      <c r="E309" s="122">
        <v>54</v>
      </c>
      <c r="F309" s="123">
        <f t="shared" si="8"/>
        <v>216</v>
      </c>
    </row>
    <row r="310" spans="1:6" x14ac:dyDescent="0.25">
      <c r="A310" s="164">
        <v>293</v>
      </c>
      <c r="B310" s="121" t="s">
        <v>476</v>
      </c>
      <c r="C310" s="164" t="s">
        <v>91</v>
      </c>
      <c r="D310" s="164">
        <v>4</v>
      </c>
      <c r="E310" s="122">
        <v>242.94</v>
      </c>
      <c r="F310" s="123">
        <f t="shared" si="8"/>
        <v>971.76</v>
      </c>
    </row>
    <row r="311" spans="1:6" x14ac:dyDescent="0.25">
      <c r="A311" s="164">
        <v>294</v>
      </c>
      <c r="B311" s="121" t="s">
        <v>491</v>
      </c>
      <c r="C311" s="164" t="s">
        <v>91</v>
      </c>
      <c r="D311" s="164">
        <v>10</v>
      </c>
      <c r="E311" s="122">
        <v>58.65</v>
      </c>
      <c r="F311" s="123">
        <f t="shared" si="8"/>
        <v>586.5</v>
      </c>
    </row>
    <row r="312" spans="1:6" x14ac:dyDescent="0.25">
      <c r="A312" s="164">
        <v>295</v>
      </c>
      <c r="B312" s="121" t="s">
        <v>482</v>
      </c>
      <c r="C312" s="164" t="s">
        <v>91</v>
      </c>
      <c r="D312" s="164">
        <v>4</v>
      </c>
      <c r="E312" s="122">
        <v>149.77000000000001</v>
      </c>
      <c r="F312" s="123">
        <f t="shared" si="8"/>
        <v>599.08000000000004</v>
      </c>
    </row>
    <row r="313" spans="1:6" x14ac:dyDescent="0.25">
      <c r="A313" s="164">
        <v>296</v>
      </c>
      <c r="B313" s="121" t="s">
        <v>481</v>
      </c>
      <c r="C313" s="164" t="s">
        <v>91</v>
      </c>
      <c r="D313" s="164">
        <v>4</v>
      </c>
      <c r="E313" s="122">
        <v>141.25</v>
      </c>
      <c r="F313" s="123">
        <f t="shared" si="8"/>
        <v>565</v>
      </c>
    </row>
    <row r="314" spans="1:6" x14ac:dyDescent="0.25">
      <c r="A314" s="164">
        <v>297</v>
      </c>
      <c r="B314" s="121" t="s">
        <v>480</v>
      </c>
      <c r="C314" s="164" t="s">
        <v>91</v>
      </c>
      <c r="D314" s="164">
        <v>1</v>
      </c>
      <c r="E314" s="122">
        <v>7354.35</v>
      </c>
      <c r="F314" s="123">
        <f t="shared" si="8"/>
        <v>7354.35</v>
      </c>
    </row>
    <row r="315" spans="1:6" x14ac:dyDescent="0.25">
      <c r="A315" s="164">
        <v>298</v>
      </c>
      <c r="B315" s="121" t="s">
        <v>866</v>
      </c>
      <c r="C315" s="164" t="s">
        <v>91</v>
      </c>
      <c r="D315" s="164">
        <v>8</v>
      </c>
      <c r="E315" s="122">
        <v>189.75</v>
      </c>
      <c r="F315" s="123">
        <f t="shared" si="8"/>
        <v>1518</v>
      </c>
    </row>
    <row r="316" spans="1:6" x14ac:dyDescent="0.25">
      <c r="A316" s="164">
        <v>299</v>
      </c>
      <c r="B316" s="121" t="s">
        <v>867</v>
      </c>
      <c r="C316" s="164" t="s">
        <v>734</v>
      </c>
      <c r="D316" s="164">
        <v>600</v>
      </c>
      <c r="E316" s="122">
        <v>1.71</v>
      </c>
      <c r="F316" s="123">
        <f t="shared" si="8"/>
        <v>1026</v>
      </c>
    </row>
    <row r="317" spans="1:6" x14ac:dyDescent="0.25">
      <c r="A317" s="164">
        <v>300</v>
      </c>
      <c r="B317" s="121" t="s">
        <v>868</v>
      </c>
      <c r="C317" s="164" t="str">
        <f>C305</f>
        <v>un.</v>
      </c>
      <c r="D317" s="164">
        <f>D305</f>
        <v>4</v>
      </c>
      <c r="E317" s="122">
        <v>192.2</v>
      </c>
      <c r="F317" s="123">
        <f t="shared" si="8"/>
        <v>768.8</v>
      </c>
    </row>
    <row r="318" spans="1:6" x14ac:dyDescent="0.25">
      <c r="A318" s="164">
        <v>301</v>
      </c>
      <c r="B318" s="121" t="s">
        <v>488</v>
      </c>
      <c r="C318" s="164" t="s">
        <v>91</v>
      </c>
      <c r="D318" s="164">
        <v>4</v>
      </c>
      <c r="E318" s="122">
        <v>313.20999999999998</v>
      </c>
      <c r="F318" s="123">
        <f t="shared" si="8"/>
        <v>1252.8399999999999</v>
      </c>
    </row>
    <row r="319" spans="1:6" x14ac:dyDescent="0.25">
      <c r="A319" s="164">
        <v>302</v>
      </c>
      <c r="B319" s="121" t="s">
        <v>487</v>
      </c>
      <c r="C319" s="164" t="s">
        <v>91</v>
      </c>
      <c r="D319" s="164">
        <v>4</v>
      </c>
      <c r="E319" s="122">
        <v>258.49</v>
      </c>
      <c r="F319" s="123">
        <f t="shared" si="8"/>
        <v>1033.96</v>
      </c>
    </row>
    <row r="320" spans="1:6" x14ac:dyDescent="0.25">
      <c r="A320" s="164">
        <v>303</v>
      </c>
      <c r="B320" s="121" t="s">
        <v>479</v>
      </c>
      <c r="C320" s="164" t="s">
        <v>91</v>
      </c>
      <c r="D320" s="164">
        <v>10</v>
      </c>
      <c r="E320" s="122">
        <v>23.49</v>
      </c>
      <c r="F320" s="123">
        <f t="shared" si="8"/>
        <v>234.9</v>
      </c>
    </row>
    <row r="321" spans="1:6" x14ac:dyDescent="0.25">
      <c r="A321" s="164">
        <v>304</v>
      </c>
      <c r="B321" s="121" t="s">
        <v>489</v>
      </c>
      <c r="C321" s="164" t="s">
        <v>91</v>
      </c>
      <c r="D321" s="164">
        <v>4</v>
      </c>
      <c r="E321" s="122">
        <v>475.55</v>
      </c>
      <c r="F321" s="123">
        <f t="shared" si="8"/>
        <v>1902.2</v>
      </c>
    </row>
    <row r="322" spans="1:6" x14ac:dyDescent="0.25">
      <c r="A322" s="1061" t="s">
        <v>292</v>
      </c>
      <c r="B322" s="1061"/>
      <c r="C322" s="1061"/>
      <c r="D322" s="1061"/>
      <c r="E322" s="124"/>
      <c r="F322" s="147">
        <f>SUM(F296:F321)</f>
        <v>34291.440000000002</v>
      </c>
    </row>
    <row r="323" spans="1:6" x14ac:dyDescent="0.25">
      <c r="A323" s="1062" t="s">
        <v>465</v>
      </c>
      <c r="B323" s="1062"/>
      <c r="C323" s="1062"/>
      <c r="D323" s="1062"/>
      <c r="E323" s="169"/>
      <c r="F323" s="170"/>
    </row>
    <row r="324" spans="1:6" x14ac:dyDescent="0.25">
      <c r="A324" s="164">
        <v>305</v>
      </c>
      <c r="B324" s="121" t="s">
        <v>464</v>
      </c>
      <c r="C324" s="164" t="s">
        <v>297</v>
      </c>
      <c r="D324" s="164">
        <v>300</v>
      </c>
      <c r="E324" s="122">
        <v>10.86</v>
      </c>
      <c r="F324" s="123">
        <f t="shared" ref="F324:F331" si="9">TRUNC(D324*E324,2)</f>
        <v>3258</v>
      </c>
    </row>
    <row r="325" spans="1:6" x14ac:dyDescent="0.25">
      <c r="A325" s="164">
        <v>306</v>
      </c>
      <c r="B325" s="121" t="s">
        <v>869</v>
      </c>
      <c r="C325" s="164" t="s">
        <v>297</v>
      </c>
      <c r="D325" s="164">
        <v>200</v>
      </c>
      <c r="E325" s="122">
        <v>15.39</v>
      </c>
      <c r="F325" s="123">
        <f t="shared" si="9"/>
        <v>3078</v>
      </c>
    </row>
    <row r="326" spans="1:6" x14ac:dyDescent="0.25">
      <c r="A326" s="164">
        <v>307</v>
      </c>
      <c r="B326" s="121" t="s">
        <v>304</v>
      </c>
      <c r="C326" s="164" t="s">
        <v>297</v>
      </c>
      <c r="D326" s="164">
        <v>200</v>
      </c>
      <c r="E326" s="122">
        <v>13.57</v>
      </c>
      <c r="F326" s="123">
        <f t="shared" si="9"/>
        <v>2714</v>
      </c>
    </row>
    <row r="327" spans="1:6" x14ac:dyDescent="0.25">
      <c r="A327" s="164">
        <v>308</v>
      </c>
      <c r="B327" s="121" t="s">
        <v>463</v>
      </c>
      <c r="C327" s="164" t="s">
        <v>297</v>
      </c>
      <c r="D327" s="164">
        <v>200</v>
      </c>
      <c r="E327" s="122">
        <v>16.18</v>
      </c>
      <c r="F327" s="123">
        <f t="shared" si="9"/>
        <v>3236</v>
      </c>
    </row>
    <row r="328" spans="1:6" x14ac:dyDescent="0.25">
      <c r="A328" s="164">
        <v>309</v>
      </c>
      <c r="B328" s="121" t="s">
        <v>299</v>
      </c>
      <c r="C328" s="164" t="s">
        <v>301</v>
      </c>
      <c r="D328" s="164">
        <v>300</v>
      </c>
      <c r="E328" s="122">
        <v>15.39</v>
      </c>
      <c r="F328" s="123">
        <f t="shared" si="9"/>
        <v>4617</v>
      </c>
    </row>
    <row r="329" spans="1:6" x14ac:dyDescent="0.25">
      <c r="A329" s="164">
        <v>310</v>
      </c>
      <c r="B329" s="121" t="s">
        <v>303</v>
      </c>
      <c r="C329" s="164" t="s">
        <v>297</v>
      </c>
      <c r="D329" s="164">
        <v>200</v>
      </c>
      <c r="E329" s="122">
        <v>15.39</v>
      </c>
      <c r="F329" s="123">
        <f t="shared" si="9"/>
        <v>3078</v>
      </c>
    </row>
    <row r="330" spans="1:6" x14ac:dyDescent="0.25">
      <c r="A330" s="164">
        <v>311</v>
      </c>
      <c r="B330" s="121" t="s">
        <v>298</v>
      </c>
      <c r="C330" s="164" t="s">
        <v>297</v>
      </c>
      <c r="D330" s="164">
        <v>200</v>
      </c>
      <c r="E330" s="122">
        <v>14.54</v>
      </c>
      <c r="F330" s="123">
        <f t="shared" si="9"/>
        <v>2908</v>
      </c>
    </row>
    <row r="331" spans="1:6" x14ac:dyDescent="0.25">
      <c r="A331" s="164">
        <v>312</v>
      </c>
      <c r="B331" s="121" t="s">
        <v>870</v>
      </c>
      <c r="C331" s="164" t="s">
        <v>297</v>
      </c>
      <c r="D331" s="164">
        <v>200</v>
      </c>
      <c r="E331" s="122">
        <v>13.25</v>
      </c>
      <c r="F331" s="123">
        <f t="shared" si="9"/>
        <v>2650</v>
      </c>
    </row>
    <row r="332" spans="1:6" x14ac:dyDescent="0.25">
      <c r="A332" s="1061" t="s">
        <v>427</v>
      </c>
      <c r="B332" s="1061"/>
      <c r="C332" s="1061"/>
      <c r="D332" s="1061"/>
      <c r="E332" s="480"/>
      <c r="F332" s="147">
        <f>SUM(F323:F331)</f>
        <v>25539</v>
      </c>
    </row>
    <row r="333" spans="1:6" x14ac:dyDescent="0.25">
      <c r="A333" s="1056" t="s">
        <v>544</v>
      </c>
      <c r="B333" s="1057"/>
      <c r="C333" s="1057"/>
      <c r="D333" s="1057"/>
      <c r="E333" s="1058"/>
      <c r="F333" s="125">
        <f>TRUNC(F162+F179+F271+F289+F295+F322+F332,2)</f>
        <v>420692.35</v>
      </c>
    </row>
    <row r="334" spans="1:6" x14ac:dyDescent="0.25">
      <c r="A334" s="1056" t="s">
        <v>943</v>
      </c>
      <c r="B334" s="1057"/>
      <c r="C334" s="1057"/>
      <c r="D334" s="1057"/>
      <c r="E334" s="1058"/>
      <c r="F334" s="125">
        <f>TRUNC(F333*14%)</f>
        <v>58896</v>
      </c>
    </row>
    <row r="335" spans="1:6" x14ac:dyDescent="0.25">
      <c r="A335" s="1056" t="s">
        <v>545</v>
      </c>
      <c r="B335" s="1057"/>
      <c r="C335" s="1057"/>
      <c r="D335" s="1057"/>
      <c r="E335" s="1058"/>
      <c r="F335" s="125">
        <f>SUM(F333:F334)</f>
        <v>479588.35</v>
      </c>
    </row>
    <row r="336" spans="1:6" x14ac:dyDescent="0.25">
      <c r="A336" s="1056" t="s">
        <v>466</v>
      </c>
      <c r="B336" s="1057"/>
      <c r="C336" s="1057"/>
      <c r="D336" s="1057"/>
      <c r="E336" s="1058"/>
      <c r="F336" s="125">
        <f>TRUNC(F335/12,2)</f>
        <v>39965.69</v>
      </c>
    </row>
    <row r="337" spans="1:9" x14ac:dyDescent="0.25">
      <c r="A337" s="1056" t="s">
        <v>871</v>
      </c>
      <c r="B337" s="1057"/>
      <c r="C337" s="1057"/>
      <c r="D337" s="1057"/>
      <c r="E337" s="1058"/>
      <c r="F337" s="125">
        <f>F336*35%</f>
        <v>13987.9915</v>
      </c>
      <c r="H337" s="125"/>
      <c r="I337" s="125"/>
    </row>
  </sheetData>
  <mergeCells count="25">
    <mergeCell ref="A322:D322"/>
    <mergeCell ref="A163:D163"/>
    <mergeCell ref="A180:D180"/>
    <mergeCell ref="A271:D271"/>
    <mergeCell ref="A1:F1"/>
    <mergeCell ref="A2:A4"/>
    <mergeCell ref="B2:B4"/>
    <mergeCell ref="C2:C4"/>
    <mergeCell ref="D2:D4"/>
    <mergeCell ref="A335:E335"/>
    <mergeCell ref="A336:E336"/>
    <mergeCell ref="A337:E337"/>
    <mergeCell ref="E2:F2"/>
    <mergeCell ref="E3:E4"/>
    <mergeCell ref="F3:F4"/>
    <mergeCell ref="A5:F5"/>
    <mergeCell ref="A333:E333"/>
    <mergeCell ref="A334:E334"/>
    <mergeCell ref="A323:D323"/>
    <mergeCell ref="A332:D332"/>
    <mergeCell ref="A272:D272"/>
    <mergeCell ref="A289:D289"/>
    <mergeCell ref="A290:D290"/>
    <mergeCell ref="A295:D295"/>
    <mergeCell ref="A296:D296"/>
  </mergeCells>
  <printOptions horizontalCentered="1"/>
  <pageMargins left="0.53149606299212604" right="0.53149606299212604" top="1.1811023622047245" bottom="0.98425196850393704" header="0" footer="0"/>
  <pageSetup paperSize="9" scale="81" orientation="portrait" vertic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view="pageBreakPreview" topLeftCell="A82" zoomScale="110" zoomScaleNormal="120" zoomScaleSheetLayoutView="110" workbookViewId="0">
      <selection activeCell="F110" sqref="F110"/>
    </sheetView>
  </sheetViews>
  <sheetFormatPr defaultRowHeight="12.75" x14ac:dyDescent="0.2"/>
  <cols>
    <col min="1" max="1" width="4" style="153" customWidth="1"/>
    <col min="2" max="2" width="49.7109375" style="91" customWidth="1"/>
    <col min="3" max="3" width="4.7109375" style="91" customWidth="1"/>
    <col min="4" max="4" width="5.7109375" style="91" customWidth="1"/>
    <col min="5" max="5" width="8.85546875" style="154"/>
    <col min="6" max="6" width="12.7109375" style="91" customWidth="1"/>
    <col min="7" max="16384" width="9.140625" style="91"/>
  </cols>
  <sheetData>
    <row r="1" spans="1:6" ht="30.75" customHeight="1" x14ac:dyDescent="0.2">
      <c r="A1" s="1063" t="s">
        <v>673</v>
      </c>
      <c r="B1" s="1064"/>
      <c r="C1" s="1064"/>
      <c r="D1" s="1064"/>
      <c r="E1" s="1064"/>
      <c r="F1" s="1065"/>
    </row>
    <row r="2" spans="1:6" x14ac:dyDescent="0.2">
      <c r="A2" s="149"/>
      <c r="B2" s="150"/>
      <c r="C2" s="150"/>
      <c r="D2" s="150"/>
      <c r="E2" s="151"/>
      <c r="F2" s="150"/>
    </row>
    <row r="3" spans="1:6" x14ac:dyDescent="0.2">
      <c r="A3" s="1068" t="s">
        <v>151</v>
      </c>
      <c r="B3" s="1068" t="s">
        <v>358</v>
      </c>
      <c r="C3" s="1068" t="s">
        <v>435</v>
      </c>
      <c r="D3" s="1068" t="s">
        <v>379</v>
      </c>
      <c r="E3" s="1067" t="s">
        <v>672</v>
      </c>
      <c r="F3" s="1067"/>
    </row>
    <row r="4" spans="1:6" x14ac:dyDescent="0.2">
      <c r="A4" s="1068"/>
      <c r="B4" s="1068"/>
      <c r="C4" s="1068"/>
      <c r="D4" s="1068"/>
      <c r="E4" s="112" t="s">
        <v>600</v>
      </c>
      <c r="F4" s="113" t="s">
        <v>352</v>
      </c>
    </row>
    <row r="5" spans="1:6" x14ac:dyDescent="0.2">
      <c r="A5" s="112">
        <v>1</v>
      </c>
      <c r="B5" s="114" t="s">
        <v>436</v>
      </c>
      <c r="C5" s="112" t="s">
        <v>1</v>
      </c>
      <c r="D5" s="115">
        <v>1</v>
      </c>
      <c r="E5" s="116">
        <v>18.68</v>
      </c>
      <c r="F5" s="117">
        <f>D5*E5</f>
        <v>18.68</v>
      </c>
    </row>
    <row r="6" spans="1:6" x14ac:dyDescent="0.2">
      <c r="A6" s="113">
        <v>2</v>
      </c>
      <c r="B6" s="114" t="s">
        <v>359</v>
      </c>
      <c r="C6" s="112" t="s">
        <v>1</v>
      </c>
      <c r="D6" s="115">
        <v>1</v>
      </c>
      <c r="E6" s="116">
        <v>29.58</v>
      </c>
      <c r="F6" s="117">
        <f t="shared" ref="F6:F69" si="0">D6*E6</f>
        <v>29.58</v>
      </c>
    </row>
    <row r="7" spans="1:6" x14ac:dyDescent="0.2">
      <c r="A7" s="112">
        <v>3</v>
      </c>
      <c r="B7" s="114" t="s">
        <v>360</v>
      </c>
      <c r="C7" s="112" t="s">
        <v>1</v>
      </c>
      <c r="D7" s="115">
        <v>2</v>
      </c>
      <c r="E7" s="116">
        <v>11.76</v>
      </c>
      <c r="F7" s="117">
        <f t="shared" si="0"/>
        <v>23.52</v>
      </c>
    </row>
    <row r="8" spans="1:6" x14ac:dyDescent="0.2">
      <c r="A8" s="113">
        <v>4</v>
      </c>
      <c r="B8" s="114" t="s">
        <v>685</v>
      </c>
      <c r="C8" s="112" t="s">
        <v>1</v>
      </c>
      <c r="D8" s="115">
        <v>11</v>
      </c>
      <c r="E8" s="116">
        <v>3.17</v>
      </c>
      <c r="F8" s="117">
        <f t="shared" si="0"/>
        <v>34.869999999999997</v>
      </c>
    </row>
    <row r="9" spans="1:6" x14ac:dyDescent="0.2">
      <c r="A9" s="112">
        <v>5</v>
      </c>
      <c r="B9" s="118" t="s">
        <v>437</v>
      </c>
      <c r="C9" s="112" t="s">
        <v>192</v>
      </c>
      <c r="D9" s="115">
        <v>1</v>
      </c>
      <c r="E9" s="116">
        <v>2.71</v>
      </c>
      <c r="F9" s="117">
        <f t="shared" si="0"/>
        <v>2.71</v>
      </c>
    </row>
    <row r="10" spans="1:6" x14ac:dyDescent="0.2">
      <c r="A10" s="113">
        <v>6</v>
      </c>
      <c r="B10" s="114" t="s">
        <v>361</v>
      </c>
      <c r="C10" s="112" t="s">
        <v>1</v>
      </c>
      <c r="D10" s="115">
        <v>11</v>
      </c>
      <c r="E10" s="116">
        <v>3.06</v>
      </c>
      <c r="F10" s="117">
        <f t="shared" si="0"/>
        <v>33.660000000000004</v>
      </c>
    </row>
    <row r="11" spans="1:6" x14ac:dyDescent="0.2">
      <c r="A11" s="112">
        <v>7</v>
      </c>
      <c r="B11" s="114" t="s">
        <v>362</v>
      </c>
      <c r="C11" s="112" t="s">
        <v>1</v>
      </c>
      <c r="D11" s="115">
        <v>1</v>
      </c>
      <c r="E11" s="116">
        <v>14.01</v>
      </c>
      <c r="F11" s="117">
        <f t="shared" si="0"/>
        <v>14.01</v>
      </c>
    </row>
    <row r="12" spans="1:6" x14ac:dyDescent="0.2">
      <c r="A12" s="113">
        <v>8</v>
      </c>
      <c r="B12" s="114" t="s">
        <v>438</v>
      </c>
      <c r="C12" s="112" t="s">
        <v>1</v>
      </c>
      <c r="D12" s="115">
        <v>2</v>
      </c>
      <c r="E12" s="116">
        <v>28.02</v>
      </c>
      <c r="F12" s="117">
        <f t="shared" si="0"/>
        <v>56.04</v>
      </c>
    </row>
    <row r="13" spans="1:6" x14ac:dyDescent="0.2">
      <c r="A13" s="112">
        <v>9</v>
      </c>
      <c r="B13" s="114" t="s">
        <v>675</v>
      </c>
      <c r="C13" s="112" t="s">
        <v>1</v>
      </c>
      <c r="D13" s="115">
        <v>1</v>
      </c>
      <c r="E13" s="116">
        <v>42.03</v>
      </c>
      <c r="F13" s="117">
        <f t="shared" si="0"/>
        <v>42.03</v>
      </c>
    </row>
    <row r="14" spans="1:6" x14ac:dyDescent="0.2">
      <c r="A14" s="113">
        <v>10</v>
      </c>
      <c r="B14" s="114" t="s">
        <v>363</v>
      </c>
      <c r="C14" s="112" t="s">
        <v>1</v>
      </c>
      <c r="D14" s="115">
        <v>13</v>
      </c>
      <c r="E14" s="116">
        <v>17.739999999999998</v>
      </c>
      <c r="F14" s="117">
        <f t="shared" si="0"/>
        <v>230.61999999999998</v>
      </c>
    </row>
    <row r="15" spans="1:6" x14ac:dyDescent="0.2">
      <c r="A15" s="112">
        <v>11</v>
      </c>
      <c r="B15" s="114" t="s">
        <v>439</v>
      </c>
      <c r="C15" s="112" t="s">
        <v>1</v>
      </c>
      <c r="D15" s="115">
        <v>2</v>
      </c>
      <c r="E15" s="116">
        <v>85.31</v>
      </c>
      <c r="F15" s="117">
        <f t="shared" si="0"/>
        <v>170.62</v>
      </c>
    </row>
    <row r="16" spans="1:6" x14ac:dyDescent="0.2">
      <c r="A16" s="113">
        <v>12</v>
      </c>
      <c r="B16" s="114" t="s">
        <v>440</v>
      </c>
      <c r="C16" s="112" t="s">
        <v>1</v>
      </c>
      <c r="D16" s="115">
        <v>1</v>
      </c>
      <c r="E16" s="116">
        <v>199.26</v>
      </c>
      <c r="F16" s="117">
        <f t="shared" si="0"/>
        <v>199.26</v>
      </c>
    </row>
    <row r="17" spans="1:6" ht="25.5" x14ac:dyDescent="0.2">
      <c r="A17" s="112">
        <v>13</v>
      </c>
      <c r="B17" s="114" t="s">
        <v>684</v>
      </c>
      <c r="C17" s="112" t="s">
        <v>1</v>
      </c>
      <c r="D17" s="115">
        <v>50</v>
      </c>
      <c r="E17" s="116">
        <v>8.56</v>
      </c>
      <c r="F17" s="117">
        <f t="shared" si="0"/>
        <v>428</v>
      </c>
    </row>
    <row r="18" spans="1:6" x14ac:dyDescent="0.2">
      <c r="A18" s="113">
        <v>14</v>
      </c>
      <c r="B18" s="114" t="s">
        <v>683</v>
      </c>
      <c r="C18" s="112" t="s">
        <v>1</v>
      </c>
      <c r="D18" s="115">
        <v>1</v>
      </c>
      <c r="E18" s="116">
        <v>43.59</v>
      </c>
      <c r="F18" s="117">
        <f t="shared" si="0"/>
        <v>43.59</v>
      </c>
    </row>
    <row r="19" spans="1:6" x14ac:dyDescent="0.2">
      <c r="A19" s="112">
        <v>15</v>
      </c>
      <c r="B19" s="114" t="s">
        <v>441</v>
      </c>
      <c r="C19" s="112" t="s">
        <v>1</v>
      </c>
      <c r="D19" s="115">
        <v>1</v>
      </c>
      <c r="E19" s="116">
        <v>93.4</v>
      </c>
      <c r="F19" s="117">
        <f t="shared" si="0"/>
        <v>93.4</v>
      </c>
    </row>
    <row r="20" spans="1:6" x14ac:dyDescent="0.2">
      <c r="A20" s="113">
        <v>16</v>
      </c>
      <c r="B20" s="114" t="s">
        <v>682</v>
      </c>
      <c r="C20" s="112" t="s">
        <v>1</v>
      </c>
      <c r="D20" s="115">
        <v>1</v>
      </c>
      <c r="E20" s="116">
        <v>3.39</v>
      </c>
      <c r="F20" s="117">
        <f t="shared" si="0"/>
        <v>3.39</v>
      </c>
    </row>
    <row r="21" spans="1:6" x14ac:dyDescent="0.2">
      <c r="A21" s="112">
        <v>17</v>
      </c>
      <c r="B21" s="114" t="s">
        <v>954</v>
      </c>
      <c r="C21" s="112" t="s">
        <v>1</v>
      </c>
      <c r="D21" s="115">
        <v>1</v>
      </c>
      <c r="E21" s="116">
        <v>373.62</v>
      </c>
      <c r="F21" s="117">
        <f t="shared" si="0"/>
        <v>373.62</v>
      </c>
    </row>
    <row r="22" spans="1:6" x14ac:dyDescent="0.2">
      <c r="A22" s="113">
        <v>18</v>
      </c>
      <c r="B22" s="114" t="s">
        <v>457</v>
      </c>
      <c r="C22" s="112" t="s">
        <v>1</v>
      </c>
      <c r="D22" s="115">
        <v>1</v>
      </c>
      <c r="E22" s="116">
        <v>46.7</v>
      </c>
      <c r="F22" s="117">
        <f t="shared" si="0"/>
        <v>46.7</v>
      </c>
    </row>
    <row r="23" spans="1:6" x14ac:dyDescent="0.2">
      <c r="A23" s="112">
        <v>19</v>
      </c>
      <c r="B23" s="114" t="s">
        <v>364</v>
      </c>
      <c r="C23" s="112" t="s">
        <v>1</v>
      </c>
      <c r="D23" s="115">
        <v>11</v>
      </c>
      <c r="E23" s="116">
        <v>6.84</v>
      </c>
      <c r="F23" s="117">
        <f t="shared" si="0"/>
        <v>75.239999999999995</v>
      </c>
    </row>
    <row r="24" spans="1:6" x14ac:dyDescent="0.2">
      <c r="A24" s="113">
        <v>20</v>
      </c>
      <c r="B24" s="114" t="s">
        <v>621</v>
      </c>
      <c r="C24" s="112" t="s">
        <v>1</v>
      </c>
      <c r="D24" s="115">
        <v>5</v>
      </c>
      <c r="E24" s="116">
        <v>3.27</v>
      </c>
      <c r="F24" s="117">
        <f t="shared" si="0"/>
        <v>16.350000000000001</v>
      </c>
    </row>
    <row r="25" spans="1:6" x14ac:dyDescent="0.2">
      <c r="A25" s="112">
        <v>21</v>
      </c>
      <c r="B25" s="114" t="s">
        <v>622</v>
      </c>
      <c r="C25" s="112" t="s">
        <v>1</v>
      </c>
      <c r="D25" s="115">
        <v>2</v>
      </c>
      <c r="E25" s="116">
        <v>52.92</v>
      </c>
      <c r="F25" s="117">
        <f t="shared" si="0"/>
        <v>105.84</v>
      </c>
    </row>
    <row r="26" spans="1:6" x14ac:dyDescent="0.2">
      <c r="A26" s="113">
        <v>22</v>
      </c>
      <c r="B26" s="114" t="s">
        <v>442</v>
      </c>
      <c r="C26" s="112" t="s">
        <v>1</v>
      </c>
      <c r="D26" s="115">
        <v>1</v>
      </c>
      <c r="E26" s="116">
        <v>16.5</v>
      </c>
      <c r="F26" s="117">
        <f t="shared" si="0"/>
        <v>16.5</v>
      </c>
    </row>
    <row r="27" spans="1:6" x14ac:dyDescent="0.2">
      <c r="A27" s="112">
        <v>23</v>
      </c>
      <c r="B27" s="114" t="s">
        <v>367</v>
      </c>
      <c r="C27" s="112" t="s">
        <v>1</v>
      </c>
      <c r="D27" s="115">
        <v>2</v>
      </c>
      <c r="E27" s="116">
        <v>2.64</v>
      </c>
      <c r="F27" s="117">
        <f t="shared" si="0"/>
        <v>5.28</v>
      </c>
    </row>
    <row r="28" spans="1:6" x14ac:dyDescent="0.2">
      <c r="A28" s="113">
        <v>24</v>
      </c>
      <c r="B28" s="114" t="s">
        <v>623</v>
      </c>
      <c r="C28" s="112" t="s">
        <v>1</v>
      </c>
      <c r="D28" s="115">
        <v>1</v>
      </c>
      <c r="E28" s="116">
        <v>46.7</v>
      </c>
      <c r="F28" s="117">
        <f t="shared" si="0"/>
        <v>46.7</v>
      </c>
    </row>
    <row r="29" spans="1:6" x14ac:dyDescent="0.2">
      <c r="A29" s="112">
        <v>25</v>
      </c>
      <c r="B29" s="114" t="s">
        <v>624</v>
      </c>
      <c r="C29" s="112" t="s">
        <v>1</v>
      </c>
      <c r="D29" s="115">
        <v>1</v>
      </c>
      <c r="E29" s="116">
        <v>56.04</v>
      </c>
      <c r="F29" s="117">
        <f t="shared" si="0"/>
        <v>56.04</v>
      </c>
    </row>
    <row r="30" spans="1:6" x14ac:dyDescent="0.2">
      <c r="A30" s="113">
        <v>26</v>
      </c>
      <c r="B30" s="114" t="s">
        <v>625</v>
      </c>
      <c r="C30" s="112" t="s">
        <v>1</v>
      </c>
      <c r="D30" s="115">
        <v>1</v>
      </c>
      <c r="E30" s="116">
        <v>74.72</v>
      </c>
      <c r="F30" s="117">
        <f t="shared" si="0"/>
        <v>74.72</v>
      </c>
    </row>
    <row r="31" spans="1:6" x14ac:dyDescent="0.2">
      <c r="A31" s="112">
        <v>27</v>
      </c>
      <c r="B31" s="114" t="s">
        <v>626</v>
      </c>
      <c r="C31" s="112" t="s">
        <v>1</v>
      </c>
      <c r="D31" s="115">
        <v>1</v>
      </c>
      <c r="E31" s="116">
        <v>180.58</v>
      </c>
      <c r="F31" s="117">
        <f t="shared" si="0"/>
        <v>180.58</v>
      </c>
    </row>
    <row r="32" spans="1:6" x14ac:dyDescent="0.2">
      <c r="A32" s="113">
        <v>28</v>
      </c>
      <c r="B32" s="114" t="s">
        <v>443</v>
      </c>
      <c r="C32" s="112" t="s">
        <v>1</v>
      </c>
      <c r="D32" s="115">
        <v>3</v>
      </c>
      <c r="E32" s="116">
        <v>124.54</v>
      </c>
      <c r="F32" s="117">
        <f t="shared" si="0"/>
        <v>373.62</v>
      </c>
    </row>
    <row r="33" spans="1:6" x14ac:dyDescent="0.2">
      <c r="A33" s="112">
        <v>29</v>
      </c>
      <c r="B33" s="114" t="s">
        <v>365</v>
      </c>
      <c r="C33" s="112" t="s">
        <v>1</v>
      </c>
      <c r="D33" s="115">
        <v>5</v>
      </c>
      <c r="E33" s="116">
        <v>93.4</v>
      </c>
      <c r="F33" s="117">
        <f t="shared" si="0"/>
        <v>467</v>
      </c>
    </row>
    <row r="34" spans="1:6" x14ac:dyDescent="0.2">
      <c r="A34" s="113">
        <v>30</v>
      </c>
      <c r="B34" s="114" t="s">
        <v>366</v>
      </c>
      <c r="C34" s="112" t="s">
        <v>1</v>
      </c>
      <c r="D34" s="115">
        <v>3</v>
      </c>
      <c r="E34" s="116">
        <v>93.4</v>
      </c>
      <c r="F34" s="117">
        <f t="shared" si="0"/>
        <v>280.20000000000005</v>
      </c>
    </row>
    <row r="35" spans="1:6" x14ac:dyDescent="0.2">
      <c r="A35" s="112">
        <v>31</v>
      </c>
      <c r="B35" s="114" t="s">
        <v>444</v>
      </c>
      <c r="C35" s="112" t="s">
        <v>1</v>
      </c>
      <c r="D35" s="115">
        <v>2</v>
      </c>
      <c r="E35" s="116">
        <v>62.27</v>
      </c>
      <c r="F35" s="117">
        <f t="shared" si="0"/>
        <v>124.54</v>
      </c>
    </row>
    <row r="36" spans="1:6" x14ac:dyDescent="0.2">
      <c r="A36" s="113">
        <v>32</v>
      </c>
      <c r="B36" s="114" t="s">
        <v>681</v>
      </c>
      <c r="C36" s="112" t="s">
        <v>1</v>
      </c>
      <c r="D36" s="115">
        <v>2</v>
      </c>
      <c r="E36" s="116">
        <v>311.35000000000002</v>
      </c>
      <c r="F36" s="117">
        <f t="shared" si="0"/>
        <v>622.70000000000005</v>
      </c>
    </row>
    <row r="37" spans="1:6" x14ac:dyDescent="0.2">
      <c r="A37" s="112">
        <v>33</v>
      </c>
      <c r="B37" s="114" t="s">
        <v>445</v>
      </c>
      <c r="C37" s="112" t="s">
        <v>1</v>
      </c>
      <c r="D37" s="115">
        <v>2</v>
      </c>
      <c r="E37" s="116">
        <v>233.51</v>
      </c>
      <c r="F37" s="117">
        <f t="shared" si="0"/>
        <v>467.02</v>
      </c>
    </row>
    <row r="38" spans="1:6" x14ac:dyDescent="0.2">
      <c r="A38" s="113">
        <v>34</v>
      </c>
      <c r="B38" s="114" t="s">
        <v>368</v>
      </c>
      <c r="C38" s="112" t="s">
        <v>1</v>
      </c>
      <c r="D38" s="115">
        <v>1</v>
      </c>
      <c r="E38" s="116">
        <v>124.54</v>
      </c>
      <c r="F38" s="117">
        <f t="shared" si="0"/>
        <v>124.54</v>
      </c>
    </row>
    <row r="39" spans="1:6" x14ac:dyDescent="0.2">
      <c r="A39" s="112">
        <v>35</v>
      </c>
      <c r="B39" s="114" t="s">
        <v>627</v>
      </c>
      <c r="C39" s="112" t="s">
        <v>1</v>
      </c>
      <c r="D39" s="115">
        <v>1</v>
      </c>
      <c r="E39" s="116">
        <v>49.81</v>
      </c>
      <c r="F39" s="117">
        <f t="shared" si="0"/>
        <v>49.81</v>
      </c>
    </row>
    <row r="40" spans="1:6" x14ac:dyDescent="0.2">
      <c r="A40" s="112">
        <v>36</v>
      </c>
      <c r="B40" s="114" t="s">
        <v>369</v>
      </c>
      <c r="C40" s="112" t="s">
        <v>1</v>
      </c>
      <c r="D40" s="115">
        <v>1</v>
      </c>
      <c r="E40" s="116">
        <v>2.4900000000000002</v>
      </c>
      <c r="F40" s="117">
        <f t="shared" si="0"/>
        <v>2.4900000000000002</v>
      </c>
    </row>
    <row r="41" spans="1:6" x14ac:dyDescent="0.2">
      <c r="A41" s="112">
        <v>37</v>
      </c>
      <c r="B41" s="114" t="s">
        <v>628</v>
      </c>
      <c r="C41" s="112" t="s">
        <v>1</v>
      </c>
      <c r="D41" s="115">
        <v>1</v>
      </c>
      <c r="E41" s="116">
        <v>1.56</v>
      </c>
      <c r="F41" s="117">
        <f t="shared" si="0"/>
        <v>1.56</v>
      </c>
    </row>
    <row r="42" spans="1:6" x14ac:dyDescent="0.2">
      <c r="A42" s="112">
        <v>38</v>
      </c>
      <c r="B42" s="114" t="s">
        <v>370</v>
      </c>
      <c r="C42" s="112" t="s">
        <v>1</v>
      </c>
      <c r="D42" s="115">
        <v>1</v>
      </c>
      <c r="E42" s="116">
        <v>1.24</v>
      </c>
      <c r="F42" s="117">
        <f t="shared" si="0"/>
        <v>1.24</v>
      </c>
    </row>
    <row r="43" spans="1:6" x14ac:dyDescent="0.2">
      <c r="A43" s="112">
        <v>39</v>
      </c>
      <c r="B43" s="114" t="s">
        <v>629</v>
      </c>
      <c r="C43" s="112" t="s">
        <v>1</v>
      </c>
      <c r="D43" s="115">
        <v>1</v>
      </c>
      <c r="E43" s="116">
        <v>7.78</v>
      </c>
      <c r="F43" s="117">
        <f t="shared" si="0"/>
        <v>7.78</v>
      </c>
    </row>
    <row r="44" spans="1:6" x14ac:dyDescent="0.2">
      <c r="A44" s="113">
        <v>40</v>
      </c>
      <c r="B44" s="118" t="s">
        <v>446</v>
      </c>
      <c r="C44" s="112" t="s">
        <v>1</v>
      </c>
      <c r="D44" s="115">
        <v>6</v>
      </c>
      <c r="E44" s="116">
        <v>62.27</v>
      </c>
      <c r="F44" s="117">
        <f t="shared" si="0"/>
        <v>373.62</v>
      </c>
    </row>
    <row r="45" spans="1:6" x14ac:dyDescent="0.2">
      <c r="A45" s="112">
        <v>41</v>
      </c>
      <c r="B45" s="114" t="s">
        <v>447</v>
      </c>
      <c r="C45" s="112" t="s">
        <v>1</v>
      </c>
      <c r="D45" s="115">
        <v>1</v>
      </c>
      <c r="E45" s="116">
        <v>80.95</v>
      </c>
      <c r="F45" s="117">
        <f t="shared" si="0"/>
        <v>80.95</v>
      </c>
    </row>
    <row r="46" spans="1:6" x14ac:dyDescent="0.2">
      <c r="A46" s="112">
        <v>42</v>
      </c>
      <c r="B46" s="114" t="s">
        <v>371</v>
      </c>
      <c r="C46" s="112" t="s">
        <v>1</v>
      </c>
      <c r="D46" s="115">
        <v>1</v>
      </c>
      <c r="E46" s="116">
        <v>186.81</v>
      </c>
      <c r="F46" s="117">
        <f t="shared" si="0"/>
        <v>186.81</v>
      </c>
    </row>
    <row r="47" spans="1:6" x14ac:dyDescent="0.2">
      <c r="A47" s="112">
        <v>43</v>
      </c>
      <c r="B47" s="114" t="s">
        <v>372</v>
      </c>
      <c r="C47" s="112" t="s">
        <v>1</v>
      </c>
      <c r="D47" s="115">
        <v>1</v>
      </c>
      <c r="E47" s="116">
        <v>242.85</v>
      </c>
      <c r="F47" s="117">
        <f t="shared" si="0"/>
        <v>242.85</v>
      </c>
    </row>
    <row r="48" spans="1:6" x14ac:dyDescent="0.2">
      <c r="A48" s="112">
        <v>44</v>
      </c>
      <c r="B48" s="114" t="s">
        <v>448</v>
      </c>
      <c r="C48" s="112" t="s">
        <v>1</v>
      </c>
      <c r="D48" s="115">
        <v>2</v>
      </c>
      <c r="E48" s="116">
        <v>74.72</v>
      </c>
      <c r="F48" s="117">
        <f t="shared" si="0"/>
        <v>149.44</v>
      </c>
    </row>
    <row r="49" spans="1:6" x14ac:dyDescent="0.2">
      <c r="A49" s="112">
        <v>45</v>
      </c>
      <c r="B49" s="114" t="s">
        <v>373</v>
      </c>
      <c r="C49" s="112" t="s">
        <v>1</v>
      </c>
      <c r="D49" s="115">
        <v>1</v>
      </c>
      <c r="E49" s="116">
        <v>5.29</v>
      </c>
      <c r="F49" s="117">
        <f t="shared" si="0"/>
        <v>5.29</v>
      </c>
    </row>
    <row r="50" spans="1:6" x14ac:dyDescent="0.2">
      <c r="A50" s="112">
        <v>46</v>
      </c>
      <c r="B50" s="114" t="s">
        <v>630</v>
      </c>
      <c r="C50" s="112" t="s">
        <v>1</v>
      </c>
      <c r="D50" s="115">
        <v>1</v>
      </c>
      <c r="E50" s="116">
        <v>77.83</v>
      </c>
      <c r="F50" s="117">
        <f t="shared" si="0"/>
        <v>77.83</v>
      </c>
    </row>
    <row r="51" spans="1:6" x14ac:dyDescent="0.2">
      <c r="A51" s="112">
        <v>47</v>
      </c>
      <c r="B51" s="118" t="s">
        <v>631</v>
      </c>
      <c r="C51" s="112" t="s">
        <v>192</v>
      </c>
      <c r="D51" s="115">
        <v>2</v>
      </c>
      <c r="E51" s="116">
        <v>4.67</v>
      </c>
      <c r="F51" s="117">
        <f t="shared" si="0"/>
        <v>9.34</v>
      </c>
    </row>
    <row r="52" spans="1:6" x14ac:dyDescent="0.2">
      <c r="A52" s="113">
        <v>48</v>
      </c>
      <c r="B52" s="118" t="s">
        <v>449</v>
      </c>
      <c r="C52" s="112" t="s">
        <v>1</v>
      </c>
      <c r="D52" s="115">
        <v>3</v>
      </c>
      <c r="E52" s="116">
        <v>17.12</v>
      </c>
      <c r="F52" s="117">
        <f t="shared" si="0"/>
        <v>51.36</v>
      </c>
    </row>
    <row r="53" spans="1:6" x14ac:dyDescent="0.2">
      <c r="A53" s="112">
        <v>49</v>
      </c>
      <c r="B53" s="114" t="s">
        <v>380</v>
      </c>
      <c r="C53" s="112" t="s">
        <v>1</v>
      </c>
      <c r="D53" s="115">
        <v>2</v>
      </c>
      <c r="E53" s="116">
        <v>21.79</v>
      </c>
      <c r="F53" s="117">
        <f t="shared" si="0"/>
        <v>43.58</v>
      </c>
    </row>
    <row r="54" spans="1:6" x14ac:dyDescent="0.2">
      <c r="A54" s="113">
        <v>50</v>
      </c>
      <c r="B54" s="114" t="s">
        <v>374</v>
      </c>
      <c r="C54" s="112" t="s">
        <v>1</v>
      </c>
      <c r="D54" s="115">
        <v>1</v>
      </c>
      <c r="E54" s="116">
        <v>161.9</v>
      </c>
      <c r="F54" s="117">
        <f t="shared" si="0"/>
        <v>161.9</v>
      </c>
    </row>
    <row r="55" spans="1:6" x14ac:dyDescent="0.2">
      <c r="A55" s="112">
        <v>51</v>
      </c>
      <c r="B55" s="114" t="s">
        <v>632</v>
      </c>
      <c r="C55" s="112" t="s">
        <v>1</v>
      </c>
      <c r="D55" s="115">
        <v>2</v>
      </c>
      <c r="E55" s="116">
        <v>28.02</v>
      </c>
      <c r="F55" s="117">
        <f t="shared" si="0"/>
        <v>56.04</v>
      </c>
    </row>
    <row r="56" spans="1:6" x14ac:dyDescent="0.2">
      <c r="A56" s="113">
        <v>52</v>
      </c>
      <c r="B56" s="114" t="s">
        <v>633</v>
      </c>
      <c r="C56" s="112" t="s">
        <v>1</v>
      </c>
      <c r="D56" s="115">
        <v>2</v>
      </c>
      <c r="E56" s="116">
        <v>14.01</v>
      </c>
      <c r="F56" s="117">
        <f t="shared" si="0"/>
        <v>28.02</v>
      </c>
    </row>
    <row r="57" spans="1:6" x14ac:dyDescent="0.2">
      <c r="A57" s="112">
        <v>53</v>
      </c>
      <c r="B57" s="114" t="s">
        <v>634</v>
      </c>
      <c r="C57" s="112" t="s">
        <v>1</v>
      </c>
      <c r="D57" s="115">
        <v>2</v>
      </c>
      <c r="E57" s="116">
        <v>93.4</v>
      </c>
      <c r="F57" s="117">
        <f t="shared" si="0"/>
        <v>186.8</v>
      </c>
    </row>
    <row r="58" spans="1:6" x14ac:dyDescent="0.2">
      <c r="A58" s="113">
        <v>54</v>
      </c>
      <c r="B58" s="118" t="s">
        <v>680</v>
      </c>
      <c r="C58" s="112" t="s">
        <v>1</v>
      </c>
      <c r="D58" s="115">
        <v>1</v>
      </c>
      <c r="E58" s="116">
        <v>242.85</v>
      </c>
      <c r="F58" s="117">
        <f t="shared" si="0"/>
        <v>242.85</v>
      </c>
    </row>
    <row r="59" spans="1:6" x14ac:dyDescent="0.2">
      <c r="A59" s="112">
        <v>55</v>
      </c>
      <c r="B59" s="118" t="s">
        <v>635</v>
      </c>
      <c r="C59" s="112" t="s">
        <v>1</v>
      </c>
      <c r="D59" s="115">
        <v>1</v>
      </c>
      <c r="E59" s="116">
        <v>2.76</v>
      </c>
      <c r="F59" s="117">
        <f t="shared" si="0"/>
        <v>2.76</v>
      </c>
    </row>
    <row r="60" spans="1:6" x14ac:dyDescent="0.2">
      <c r="A60" s="113">
        <v>56</v>
      </c>
      <c r="B60" s="118" t="s">
        <v>636</v>
      </c>
      <c r="C60" s="112" t="s">
        <v>1</v>
      </c>
      <c r="D60" s="115">
        <v>2</v>
      </c>
      <c r="E60" s="116">
        <v>93.4</v>
      </c>
      <c r="F60" s="117">
        <f t="shared" si="0"/>
        <v>186.8</v>
      </c>
    </row>
    <row r="61" spans="1:6" ht="25.5" x14ac:dyDescent="0.2">
      <c r="A61" s="112">
        <v>57</v>
      </c>
      <c r="B61" s="118" t="s">
        <v>637</v>
      </c>
      <c r="C61" s="112" t="s">
        <v>1</v>
      </c>
      <c r="D61" s="115">
        <v>3</v>
      </c>
      <c r="E61" s="116">
        <v>217.95</v>
      </c>
      <c r="F61" s="119">
        <f t="shared" si="0"/>
        <v>653.84999999999991</v>
      </c>
    </row>
    <row r="62" spans="1:6" x14ac:dyDescent="0.2">
      <c r="A62" s="113">
        <v>58</v>
      </c>
      <c r="B62" s="118" t="s">
        <v>638</v>
      </c>
      <c r="C62" s="112" t="s">
        <v>450</v>
      </c>
      <c r="D62" s="115">
        <v>1</v>
      </c>
      <c r="E62" s="116">
        <v>9.33</v>
      </c>
      <c r="F62" s="117">
        <f t="shared" si="0"/>
        <v>9.33</v>
      </c>
    </row>
    <row r="63" spans="1:6" x14ac:dyDescent="0.2">
      <c r="A63" s="112">
        <v>59</v>
      </c>
      <c r="B63" s="118" t="s">
        <v>451</v>
      </c>
      <c r="C63" s="112" t="s">
        <v>452</v>
      </c>
      <c r="D63" s="115">
        <v>1</v>
      </c>
      <c r="E63" s="116">
        <v>77.83</v>
      </c>
      <c r="F63" s="117">
        <f t="shared" si="0"/>
        <v>77.83</v>
      </c>
    </row>
    <row r="64" spans="1:6" x14ac:dyDescent="0.2">
      <c r="A64" s="113">
        <v>60</v>
      </c>
      <c r="B64" s="114" t="s">
        <v>639</v>
      </c>
      <c r="C64" s="112" t="s">
        <v>1</v>
      </c>
      <c r="D64" s="115">
        <v>3</v>
      </c>
      <c r="E64" s="116">
        <v>2.1800000000000002</v>
      </c>
      <c r="F64" s="117">
        <f t="shared" si="0"/>
        <v>6.5400000000000009</v>
      </c>
    </row>
    <row r="65" spans="1:6" x14ac:dyDescent="0.2">
      <c r="A65" s="112">
        <v>61</v>
      </c>
      <c r="B65" s="114" t="s">
        <v>375</v>
      </c>
      <c r="C65" s="112" t="s">
        <v>1</v>
      </c>
      <c r="D65" s="115">
        <v>5</v>
      </c>
      <c r="E65" s="116">
        <v>24.28</v>
      </c>
      <c r="F65" s="117">
        <f t="shared" si="0"/>
        <v>121.4</v>
      </c>
    </row>
    <row r="66" spans="1:6" x14ac:dyDescent="0.2">
      <c r="A66" s="113">
        <v>62</v>
      </c>
      <c r="B66" s="118" t="s">
        <v>640</v>
      </c>
      <c r="C66" s="112" t="s">
        <v>192</v>
      </c>
      <c r="D66" s="115">
        <v>1</v>
      </c>
      <c r="E66" s="116">
        <v>143.22</v>
      </c>
      <c r="F66" s="117">
        <f t="shared" si="0"/>
        <v>143.22</v>
      </c>
    </row>
    <row r="67" spans="1:6" x14ac:dyDescent="0.2">
      <c r="A67" s="112">
        <v>63</v>
      </c>
      <c r="B67" s="118" t="s">
        <v>641</v>
      </c>
      <c r="C67" s="112" t="s">
        <v>642</v>
      </c>
      <c r="D67" s="115">
        <v>48</v>
      </c>
      <c r="E67" s="116">
        <v>0.93</v>
      </c>
      <c r="F67" s="117">
        <f t="shared" si="0"/>
        <v>44.64</v>
      </c>
    </row>
    <row r="68" spans="1:6" x14ac:dyDescent="0.2">
      <c r="A68" s="113">
        <v>64</v>
      </c>
      <c r="B68" s="120" t="s">
        <v>643</v>
      </c>
      <c r="C68" s="112" t="s">
        <v>642</v>
      </c>
      <c r="D68" s="115">
        <v>6</v>
      </c>
      <c r="E68" s="116">
        <v>7.47</v>
      </c>
      <c r="F68" s="117">
        <f t="shared" si="0"/>
        <v>44.82</v>
      </c>
    </row>
    <row r="69" spans="1:6" x14ac:dyDescent="0.2">
      <c r="A69" s="112">
        <v>65</v>
      </c>
      <c r="B69" s="114" t="s">
        <v>644</v>
      </c>
      <c r="C69" s="112" t="s">
        <v>642</v>
      </c>
      <c r="D69" s="115">
        <v>5</v>
      </c>
      <c r="E69" s="116">
        <v>2.1800000000000002</v>
      </c>
      <c r="F69" s="117">
        <f t="shared" si="0"/>
        <v>10.9</v>
      </c>
    </row>
    <row r="70" spans="1:6" x14ac:dyDescent="0.2">
      <c r="A70" s="113">
        <v>66</v>
      </c>
      <c r="B70" s="114" t="s">
        <v>645</v>
      </c>
      <c r="C70" s="112" t="s">
        <v>642</v>
      </c>
      <c r="D70" s="115">
        <v>1</v>
      </c>
      <c r="E70" s="116">
        <v>3.73</v>
      </c>
      <c r="F70" s="117">
        <f t="shared" ref="F70:F107" si="1">D70*E70</f>
        <v>3.73</v>
      </c>
    </row>
    <row r="71" spans="1:6" x14ac:dyDescent="0.2">
      <c r="A71" s="112">
        <v>67</v>
      </c>
      <c r="B71" s="120" t="s">
        <v>646</v>
      </c>
      <c r="C71" s="112" t="s">
        <v>642</v>
      </c>
      <c r="D71" s="115">
        <v>2</v>
      </c>
      <c r="E71" s="116">
        <v>56.04</v>
      </c>
      <c r="F71" s="117">
        <f t="shared" si="1"/>
        <v>112.08</v>
      </c>
    </row>
    <row r="72" spans="1:6" x14ac:dyDescent="0.2">
      <c r="A72" s="113">
        <v>68</v>
      </c>
      <c r="B72" s="114" t="s">
        <v>647</v>
      </c>
      <c r="C72" s="112" t="s">
        <v>642</v>
      </c>
      <c r="D72" s="115">
        <v>36</v>
      </c>
      <c r="E72" s="116">
        <v>0.62</v>
      </c>
      <c r="F72" s="117">
        <f t="shared" si="1"/>
        <v>22.32</v>
      </c>
    </row>
    <row r="73" spans="1:6" x14ac:dyDescent="0.2">
      <c r="A73" s="112">
        <v>69</v>
      </c>
      <c r="B73" s="114" t="s">
        <v>648</v>
      </c>
      <c r="C73" s="112" t="s">
        <v>1</v>
      </c>
      <c r="D73" s="115">
        <v>1</v>
      </c>
      <c r="E73" s="116">
        <v>52.92</v>
      </c>
      <c r="F73" s="117">
        <f t="shared" si="1"/>
        <v>52.92</v>
      </c>
    </row>
    <row r="74" spans="1:6" ht="25.5" x14ac:dyDescent="0.2">
      <c r="A74" s="113">
        <v>70</v>
      </c>
      <c r="B74" s="114" t="s">
        <v>671</v>
      </c>
      <c r="C74" s="112" t="s">
        <v>1</v>
      </c>
      <c r="D74" s="115">
        <v>1</v>
      </c>
      <c r="E74" s="116">
        <v>46.7</v>
      </c>
      <c r="F74" s="119">
        <f t="shared" si="1"/>
        <v>46.7</v>
      </c>
    </row>
    <row r="75" spans="1:6" x14ac:dyDescent="0.2">
      <c r="A75" s="112">
        <v>71</v>
      </c>
      <c r="B75" s="114" t="s">
        <v>649</v>
      </c>
      <c r="C75" s="112" t="s">
        <v>650</v>
      </c>
      <c r="D75" s="115">
        <v>5</v>
      </c>
      <c r="E75" s="116">
        <v>40.47</v>
      </c>
      <c r="F75" s="117">
        <f t="shared" si="1"/>
        <v>202.35</v>
      </c>
    </row>
    <row r="76" spans="1:6" x14ac:dyDescent="0.2">
      <c r="A76" s="113">
        <v>72</v>
      </c>
      <c r="B76" s="114" t="s">
        <v>651</v>
      </c>
      <c r="C76" s="112" t="s">
        <v>1</v>
      </c>
      <c r="D76" s="115">
        <v>1</v>
      </c>
      <c r="E76" s="116">
        <v>4.05</v>
      </c>
      <c r="F76" s="117">
        <f t="shared" si="1"/>
        <v>4.05</v>
      </c>
    </row>
    <row r="77" spans="1:6" x14ac:dyDescent="0.2">
      <c r="A77" s="112">
        <v>73</v>
      </c>
      <c r="B77" s="114" t="s">
        <v>652</v>
      </c>
      <c r="C77" s="112" t="s">
        <v>1</v>
      </c>
      <c r="D77" s="115">
        <v>1</v>
      </c>
      <c r="E77" s="116">
        <v>2.4900000000000002</v>
      </c>
      <c r="F77" s="117">
        <f t="shared" si="1"/>
        <v>2.4900000000000002</v>
      </c>
    </row>
    <row r="78" spans="1:6" x14ac:dyDescent="0.2">
      <c r="A78" s="113">
        <v>74</v>
      </c>
      <c r="B78" s="118" t="s">
        <v>653</v>
      </c>
      <c r="C78" s="112" t="s">
        <v>1</v>
      </c>
      <c r="D78" s="115">
        <v>2</v>
      </c>
      <c r="E78" s="116">
        <v>2.8</v>
      </c>
      <c r="F78" s="117">
        <f t="shared" si="1"/>
        <v>5.6</v>
      </c>
    </row>
    <row r="79" spans="1:6" x14ac:dyDescent="0.2">
      <c r="A79" s="112">
        <v>75</v>
      </c>
      <c r="B79" s="114" t="s">
        <v>453</v>
      </c>
      <c r="C79" s="112" t="s">
        <v>1</v>
      </c>
      <c r="D79" s="115">
        <v>1</v>
      </c>
      <c r="E79" s="116">
        <v>4.2</v>
      </c>
      <c r="F79" s="117">
        <f t="shared" si="1"/>
        <v>4.2</v>
      </c>
    </row>
    <row r="80" spans="1:6" x14ac:dyDescent="0.2">
      <c r="A80" s="113">
        <v>76</v>
      </c>
      <c r="B80" s="114" t="s">
        <v>376</v>
      </c>
      <c r="C80" s="112" t="s">
        <v>1</v>
      </c>
      <c r="D80" s="115">
        <v>2</v>
      </c>
      <c r="E80" s="116">
        <v>4.67</v>
      </c>
      <c r="F80" s="117">
        <f t="shared" si="1"/>
        <v>9.34</v>
      </c>
    </row>
    <row r="81" spans="1:6" ht="25.5" x14ac:dyDescent="0.2">
      <c r="A81" s="112">
        <v>77</v>
      </c>
      <c r="B81" s="114" t="s">
        <v>679</v>
      </c>
      <c r="C81" s="112" t="s">
        <v>1</v>
      </c>
      <c r="D81" s="115">
        <v>1</v>
      </c>
      <c r="E81" s="116">
        <v>80.95</v>
      </c>
      <c r="F81" s="117">
        <f t="shared" si="1"/>
        <v>80.95</v>
      </c>
    </row>
    <row r="82" spans="1:6" x14ac:dyDescent="0.2">
      <c r="A82" s="113">
        <v>78</v>
      </c>
      <c r="B82" s="114" t="s">
        <v>654</v>
      </c>
      <c r="C82" s="112" t="s">
        <v>1</v>
      </c>
      <c r="D82" s="115">
        <v>1</v>
      </c>
      <c r="E82" s="116">
        <v>71.61</v>
      </c>
      <c r="F82" s="117">
        <f t="shared" si="1"/>
        <v>71.61</v>
      </c>
    </row>
    <row r="83" spans="1:6" x14ac:dyDescent="0.2">
      <c r="A83" s="112">
        <v>79</v>
      </c>
      <c r="B83" s="114" t="s">
        <v>655</v>
      </c>
      <c r="C83" s="112" t="s">
        <v>1</v>
      </c>
      <c r="D83" s="115">
        <v>1</v>
      </c>
      <c r="E83" s="116">
        <v>12.45</v>
      </c>
      <c r="F83" s="117">
        <f t="shared" si="1"/>
        <v>12.45</v>
      </c>
    </row>
    <row r="84" spans="1:6" x14ac:dyDescent="0.2">
      <c r="A84" s="113">
        <v>80</v>
      </c>
      <c r="B84" s="114" t="s">
        <v>656</v>
      </c>
      <c r="C84" s="112" t="s">
        <v>642</v>
      </c>
      <c r="D84" s="115">
        <v>10</v>
      </c>
      <c r="E84" s="116">
        <v>1.24</v>
      </c>
      <c r="F84" s="117">
        <f t="shared" si="1"/>
        <v>12.4</v>
      </c>
    </row>
    <row r="85" spans="1:6" x14ac:dyDescent="0.2">
      <c r="A85" s="112">
        <v>81</v>
      </c>
      <c r="B85" s="114" t="s">
        <v>657</v>
      </c>
      <c r="C85" s="112" t="s">
        <v>1</v>
      </c>
      <c r="D85" s="115">
        <v>1</v>
      </c>
      <c r="E85" s="116">
        <v>4.9800000000000004</v>
      </c>
      <c r="F85" s="117">
        <f t="shared" si="1"/>
        <v>4.9800000000000004</v>
      </c>
    </row>
    <row r="86" spans="1:6" x14ac:dyDescent="0.2">
      <c r="A86" s="113">
        <v>82</v>
      </c>
      <c r="B86" s="114" t="s">
        <v>658</v>
      </c>
      <c r="C86" s="112" t="s">
        <v>1</v>
      </c>
      <c r="D86" s="115">
        <v>1</v>
      </c>
      <c r="E86" s="116">
        <v>467.03</v>
      </c>
      <c r="F86" s="117">
        <f t="shared" si="1"/>
        <v>467.03</v>
      </c>
    </row>
    <row r="87" spans="1:6" x14ac:dyDescent="0.2">
      <c r="A87" s="112">
        <v>83</v>
      </c>
      <c r="B87" s="114" t="s">
        <v>377</v>
      </c>
      <c r="C87" s="112" t="s">
        <v>1</v>
      </c>
      <c r="D87" s="115">
        <v>1</v>
      </c>
      <c r="E87" s="116">
        <v>15.57</v>
      </c>
      <c r="F87" s="117">
        <f t="shared" si="1"/>
        <v>15.57</v>
      </c>
    </row>
    <row r="88" spans="1:6" x14ac:dyDescent="0.2">
      <c r="A88" s="113">
        <v>84</v>
      </c>
      <c r="B88" s="114" t="s">
        <v>659</v>
      </c>
      <c r="C88" s="112" t="s">
        <v>1</v>
      </c>
      <c r="D88" s="115">
        <v>1</v>
      </c>
      <c r="E88" s="116">
        <v>11.83</v>
      </c>
      <c r="F88" s="117">
        <f t="shared" si="1"/>
        <v>11.83</v>
      </c>
    </row>
    <row r="89" spans="1:6" x14ac:dyDescent="0.2">
      <c r="A89" s="112">
        <v>85</v>
      </c>
      <c r="B89" s="114" t="s">
        <v>660</v>
      </c>
      <c r="C89" s="112" t="s">
        <v>1</v>
      </c>
      <c r="D89" s="115">
        <v>1</v>
      </c>
      <c r="E89" s="116">
        <v>12.45</v>
      </c>
      <c r="F89" s="117">
        <f t="shared" si="1"/>
        <v>12.45</v>
      </c>
    </row>
    <row r="90" spans="1:6" x14ac:dyDescent="0.2">
      <c r="A90" s="113">
        <v>86</v>
      </c>
      <c r="B90" s="118" t="s">
        <v>661</v>
      </c>
      <c r="C90" s="112" t="s">
        <v>1</v>
      </c>
      <c r="D90" s="115">
        <v>1</v>
      </c>
      <c r="E90" s="116">
        <v>121.42</v>
      </c>
      <c r="F90" s="117">
        <f t="shared" si="1"/>
        <v>121.42</v>
      </c>
    </row>
    <row r="91" spans="1:6" x14ac:dyDescent="0.2">
      <c r="A91" s="112">
        <v>87</v>
      </c>
      <c r="B91" s="114" t="s">
        <v>662</v>
      </c>
      <c r="C91" s="112" t="s">
        <v>1</v>
      </c>
      <c r="D91" s="115">
        <v>5</v>
      </c>
      <c r="E91" s="116">
        <v>3.11</v>
      </c>
      <c r="F91" s="117">
        <f t="shared" si="1"/>
        <v>15.549999999999999</v>
      </c>
    </row>
    <row r="92" spans="1:6" x14ac:dyDescent="0.2">
      <c r="A92" s="113">
        <v>88</v>
      </c>
      <c r="B92" s="114" t="s">
        <v>674</v>
      </c>
      <c r="C92" s="112" t="s">
        <v>1</v>
      </c>
      <c r="D92" s="115">
        <v>10</v>
      </c>
      <c r="E92" s="116">
        <v>2.4900000000000002</v>
      </c>
      <c r="F92" s="117">
        <f t="shared" si="1"/>
        <v>24.900000000000002</v>
      </c>
    </row>
    <row r="93" spans="1:6" x14ac:dyDescent="0.2">
      <c r="A93" s="112">
        <v>89</v>
      </c>
      <c r="B93" s="114" t="s">
        <v>678</v>
      </c>
      <c r="C93" s="112" t="s">
        <v>1</v>
      </c>
      <c r="D93" s="115">
        <v>1</v>
      </c>
      <c r="E93" s="116">
        <v>11.83</v>
      </c>
      <c r="F93" s="117">
        <f t="shared" si="1"/>
        <v>11.83</v>
      </c>
    </row>
    <row r="94" spans="1:6" x14ac:dyDescent="0.2">
      <c r="A94" s="113">
        <v>90</v>
      </c>
      <c r="B94" s="120" t="s">
        <v>663</v>
      </c>
      <c r="C94" s="112" t="s">
        <v>1</v>
      </c>
      <c r="D94" s="115">
        <v>1</v>
      </c>
      <c r="E94" s="116">
        <v>404.76</v>
      </c>
      <c r="F94" s="117">
        <f t="shared" si="1"/>
        <v>404.76</v>
      </c>
    </row>
    <row r="95" spans="1:6" x14ac:dyDescent="0.2">
      <c r="A95" s="112">
        <v>91</v>
      </c>
      <c r="B95" s="114" t="s">
        <v>378</v>
      </c>
      <c r="C95" s="112" t="s">
        <v>1</v>
      </c>
      <c r="D95" s="115">
        <v>2</v>
      </c>
      <c r="E95" s="116">
        <v>21.79</v>
      </c>
      <c r="F95" s="117">
        <f t="shared" si="1"/>
        <v>43.58</v>
      </c>
    </row>
    <row r="96" spans="1:6" x14ac:dyDescent="0.2">
      <c r="A96" s="113">
        <v>92</v>
      </c>
      <c r="B96" s="114" t="s">
        <v>664</v>
      </c>
      <c r="C96" s="112" t="s">
        <v>1</v>
      </c>
      <c r="D96" s="115">
        <v>1</v>
      </c>
      <c r="E96" s="116">
        <v>9.0299999999999994</v>
      </c>
      <c r="F96" s="117">
        <f t="shared" si="1"/>
        <v>9.0299999999999994</v>
      </c>
    </row>
    <row r="97" spans="1:6" x14ac:dyDescent="0.2">
      <c r="A97" s="112">
        <v>93</v>
      </c>
      <c r="B97" s="114" t="s">
        <v>665</v>
      </c>
      <c r="C97" s="112" t="s">
        <v>1</v>
      </c>
      <c r="D97" s="115">
        <v>1</v>
      </c>
      <c r="E97" s="116">
        <v>108.97</v>
      </c>
      <c r="F97" s="117">
        <f t="shared" si="1"/>
        <v>108.97</v>
      </c>
    </row>
    <row r="98" spans="1:6" x14ac:dyDescent="0.2">
      <c r="A98" s="113">
        <v>94</v>
      </c>
      <c r="B98" s="118" t="s">
        <v>666</v>
      </c>
      <c r="C98" s="112" t="s">
        <v>1</v>
      </c>
      <c r="D98" s="115">
        <v>1</v>
      </c>
      <c r="E98" s="116">
        <v>280.20999999999998</v>
      </c>
      <c r="F98" s="117">
        <f t="shared" si="1"/>
        <v>280.20999999999998</v>
      </c>
    </row>
    <row r="99" spans="1:6" x14ac:dyDescent="0.2">
      <c r="A99" s="112">
        <v>95</v>
      </c>
      <c r="B99" s="118" t="s">
        <v>454</v>
      </c>
      <c r="C99" s="112" t="s">
        <v>1</v>
      </c>
      <c r="D99" s="115">
        <v>1</v>
      </c>
      <c r="E99" s="116">
        <v>90.29</v>
      </c>
      <c r="F99" s="117">
        <f t="shared" si="1"/>
        <v>90.29</v>
      </c>
    </row>
    <row r="100" spans="1:6" x14ac:dyDescent="0.2">
      <c r="A100" s="113">
        <v>96</v>
      </c>
      <c r="B100" s="118" t="s">
        <v>455</v>
      </c>
      <c r="C100" s="112" t="s">
        <v>1</v>
      </c>
      <c r="D100" s="115">
        <v>1</v>
      </c>
      <c r="E100" s="116">
        <v>80.95</v>
      </c>
      <c r="F100" s="117">
        <f t="shared" si="1"/>
        <v>80.95</v>
      </c>
    </row>
    <row r="101" spans="1:6" x14ac:dyDescent="0.2">
      <c r="A101" s="112">
        <v>97</v>
      </c>
      <c r="B101" s="114" t="s">
        <v>667</v>
      </c>
      <c r="C101" s="112" t="s">
        <v>1</v>
      </c>
      <c r="D101" s="115">
        <v>1</v>
      </c>
      <c r="E101" s="116">
        <v>21.79</v>
      </c>
      <c r="F101" s="117">
        <f t="shared" si="1"/>
        <v>21.79</v>
      </c>
    </row>
    <row r="102" spans="1:6" x14ac:dyDescent="0.2">
      <c r="A102" s="113">
        <v>98</v>
      </c>
      <c r="B102" s="114" t="s">
        <v>677</v>
      </c>
      <c r="C102" s="112" t="s">
        <v>1</v>
      </c>
      <c r="D102" s="115">
        <v>1</v>
      </c>
      <c r="E102" s="116">
        <v>34.25</v>
      </c>
      <c r="F102" s="117">
        <f t="shared" si="1"/>
        <v>34.25</v>
      </c>
    </row>
    <row r="103" spans="1:6" x14ac:dyDescent="0.2">
      <c r="A103" s="112">
        <v>99</v>
      </c>
      <c r="B103" s="114" t="s">
        <v>668</v>
      </c>
      <c r="C103" s="112" t="s">
        <v>1</v>
      </c>
      <c r="D103" s="115">
        <v>5</v>
      </c>
      <c r="E103" s="116">
        <v>3.11</v>
      </c>
      <c r="F103" s="117">
        <f t="shared" si="1"/>
        <v>15.549999999999999</v>
      </c>
    </row>
    <row r="104" spans="1:6" x14ac:dyDescent="0.2">
      <c r="A104" s="113">
        <v>100</v>
      </c>
      <c r="B104" s="114" t="s">
        <v>676</v>
      </c>
      <c r="C104" s="112" t="s">
        <v>1</v>
      </c>
      <c r="D104" s="115">
        <v>2</v>
      </c>
      <c r="E104" s="116">
        <v>31.13</v>
      </c>
      <c r="F104" s="117">
        <f t="shared" si="1"/>
        <v>62.26</v>
      </c>
    </row>
    <row r="105" spans="1:6" x14ac:dyDescent="0.2">
      <c r="A105" s="112">
        <v>101</v>
      </c>
      <c r="B105" s="114" t="s">
        <v>669</v>
      </c>
      <c r="C105" s="112" t="s">
        <v>1</v>
      </c>
      <c r="D105" s="115">
        <v>1</v>
      </c>
      <c r="E105" s="116">
        <v>22.73</v>
      </c>
      <c r="F105" s="117">
        <f t="shared" si="1"/>
        <v>22.73</v>
      </c>
    </row>
    <row r="106" spans="1:6" x14ac:dyDescent="0.2">
      <c r="A106" s="113">
        <v>102</v>
      </c>
      <c r="B106" s="114" t="s">
        <v>670</v>
      </c>
      <c r="C106" s="112" t="s">
        <v>1</v>
      </c>
      <c r="D106" s="115">
        <v>11</v>
      </c>
      <c r="E106" s="116">
        <v>9.33</v>
      </c>
      <c r="F106" s="117">
        <f t="shared" si="1"/>
        <v>102.63</v>
      </c>
    </row>
    <row r="107" spans="1:6" x14ac:dyDescent="0.2">
      <c r="A107" s="112">
        <v>103</v>
      </c>
      <c r="B107" s="118" t="s">
        <v>456</v>
      </c>
      <c r="C107" s="112" t="s">
        <v>192</v>
      </c>
      <c r="D107" s="115">
        <v>5</v>
      </c>
      <c r="E107" s="116">
        <v>9.9600000000000009</v>
      </c>
      <c r="F107" s="117">
        <f t="shared" si="1"/>
        <v>49.800000000000004</v>
      </c>
    </row>
    <row r="108" spans="1:6" x14ac:dyDescent="0.2">
      <c r="A108" s="1051" t="s">
        <v>381</v>
      </c>
      <c r="B108" s="1052"/>
      <c r="C108" s="1052"/>
      <c r="D108" s="1052"/>
      <c r="E108" s="1066"/>
      <c r="F108" s="152">
        <f>SUM(F5:F107)</f>
        <v>10798.37</v>
      </c>
    </row>
    <row r="109" spans="1:6" x14ac:dyDescent="0.2">
      <c r="A109" s="1051" t="s">
        <v>458</v>
      </c>
      <c r="B109" s="1052"/>
      <c r="C109" s="1052"/>
      <c r="D109" s="1052"/>
      <c r="E109" s="1066"/>
      <c r="F109" s="152">
        <f>TRUNC(F108/12,2)</f>
        <v>899.86</v>
      </c>
    </row>
    <row r="110" spans="1:6" x14ac:dyDescent="0.2">
      <c r="A110" s="1051" t="s">
        <v>382</v>
      </c>
      <c r="B110" s="1052"/>
      <c r="C110" s="1052"/>
      <c r="D110" s="1052"/>
      <c r="E110" s="1066"/>
      <c r="F110" s="301">
        <f>TRUNC(F109/20,2)</f>
        <v>44.99</v>
      </c>
    </row>
  </sheetData>
  <mergeCells count="9">
    <mergeCell ref="A1:F1"/>
    <mergeCell ref="A108:E108"/>
    <mergeCell ref="A109:E109"/>
    <mergeCell ref="A110:E110"/>
    <mergeCell ref="E3:F3"/>
    <mergeCell ref="A3:A4"/>
    <mergeCell ref="B3:B4"/>
    <mergeCell ref="C3:C4"/>
    <mergeCell ref="D3:D4"/>
  </mergeCells>
  <printOptions horizontalCentered="1"/>
  <pageMargins left="0.53149606299212604" right="0.53149606299212604" top="1.1811023622047245" bottom="0.98425196850393704" header="0" footer="0"/>
  <pageSetup paperSize="9" scale="94" orientation="portrait" vertic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view="pageBreakPreview" topLeftCell="A16" zoomScale="110" zoomScaleNormal="120" zoomScaleSheetLayoutView="110" workbookViewId="0">
      <selection activeCell="Q9" sqref="Q9"/>
    </sheetView>
  </sheetViews>
  <sheetFormatPr defaultRowHeight="15" x14ac:dyDescent="0.25"/>
  <cols>
    <col min="1" max="1" width="17.5703125" style="67" customWidth="1"/>
    <col min="2" max="2" width="23.140625" style="67" customWidth="1"/>
    <col min="3" max="3" width="9.140625" style="67"/>
    <col min="4" max="4" width="10.7109375" style="67" customWidth="1"/>
    <col min="5" max="5" width="9.140625" style="67"/>
    <col min="6" max="6" width="10" style="67" hidden="1" customWidth="1"/>
    <col min="7" max="7" width="5.85546875" style="67" hidden="1" customWidth="1"/>
    <col min="8" max="8" width="9.85546875" style="67" hidden="1" customWidth="1"/>
    <col min="9" max="9" width="9.140625" style="67"/>
    <col min="10" max="10" width="12.42578125" style="67" customWidth="1"/>
    <col min="11" max="11" width="10" style="67" bestFit="1" customWidth="1"/>
    <col min="12" max="16384" width="9.140625" style="67"/>
  </cols>
  <sheetData>
    <row r="1" spans="1:13" ht="41.25" customHeight="1" x14ac:dyDescent="0.25">
      <c r="A1" s="1069" t="s">
        <v>924</v>
      </c>
      <c r="B1" s="1069"/>
      <c r="C1" s="1069"/>
      <c r="D1" s="1069"/>
      <c r="E1" s="1069"/>
      <c r="F1" s="1069"/>
      <c r="G1" s="1069"/>
      <c r="H1" s="1069"/>
      <c r="I1" s="1069"/>
      <c r="J1" s="1069"/>
    </row>
    <row r="2" spans="1:13" x14ac:dyDescent="0.25">
      <c r="E2" s="90"/>
      <c r="F2" s="90"/>
      <c r="G2" s="90"/>
      <c r="J2" s="91"/>
    </row>
    <row r="3" spans="1:13" x14ac:dyDescent="0.25">
      <c r="E3" s="90"/>
      <c r="F3" s="90"/>
      <c r="G3" s="90"/>
      <c r="J3" s="91"/>
    </row>
    <row r="4" spans="1:13" x14ac:dyDescent="0.25">
      <c r="E4" s="90"/>
      <c r="F4" s="90"/>
      <c r="G4" s="90"/>
      <c r="J4" s="91"/>
    </row>
    <row r="5" spans="1:13" x14ac:dyDescent="0.25">
      <c r="A5" s="1070" t="s">
        <v>524</v>
      </c>
      <c r="B5" s="1070" t="s">
        <v>525</v>
      </c>
      <c r="C5" s="1070" t="s">
        <v>926</v>
      </c>
      <c r="D5" s="1071" t="s">
        <v>526</v>
      </c>
      <c r="E5" s="1071" t="s">
        <v>527</v>
      </c>
      <c r="F5" s="92" t="s">
        <v>597</v>
      </c>
      <c r="G5" s="92"/>
      <c r="H5" s="92"/>
      <c r="I5" s="1072" t="s">
        <v>925</v>
      </c>
      <c r="J5" s="1072" t="s">
        <v>601</v>
      </c>
    </row>
    <row r="6" spans="1:13" x14ac:dyDescent="0.25">
      <c r="A6" s="1070"/>
      <c r="B6" s="1070"/>
      <c r="C6" s="1070"/>
      <c r="D6" s="1071"/>
      <c r="E6" s="1071"/>
      <c r="F6" s="1070" t="s">
        <v>600</v>
      </c>
      <c r="G6" s="1070"/>
      <c r="H6" s="1070" t="s">
        <v>596</v>
      </c>
      <c r="I6" s="1073"/>
      <c r="J6" s="1073"/>
    </row>
    <row r="7" spans="1:13" ht="24" x14ac:dyDescent="0.25">
      <c r="A7" s="1070"/>
      <c r="B7" s="1070"/>
      <c r="C7" s="1070"/>
      <c r="D7" s="1071"/>
      <c r="E7" s="1071"/>
      <c r="F7" s="93" t="s">
        <v>598</v>
      </c>
      <c r="G7" s="93" t="s">
        <v>599</v>
      </c>
      <c r="H7" s="1070"/>
      <c r="I7" s="1074"/>
      <c r="J7" s="1074"/>
    </row>
    <row r="8" spans="1:13" ht="24" x14ac:dyDescent="0.25">
      <c r="A8" s="1081" t="s">
        <v>522</v>
      </c>
      <c r="B8" s="94" t="s">
        <v>528</v>
      </c>
      <c r="C8" s="95">
        <v>4</v>
      </c>
      <c r="D8" s="1082">
        <v>1</v>
      </c>
      <c r="E8" s="96">
        <f>C8*1</f>
        <v>4</v>
      </c>
      <c r="F8" s="97">
        <v>149</v>
      </c>
      <c r="G8" s="97">
        <v>98</v>
      </c>
      <c r="H8" s="97">
        <f>AVERAGE(F8:G8)</f>
        <v>123.5</v>
      </c>
      <c r="I8" s="98">
        <v>296.88</v>
      </c>
      <c r="J8" s="1083">
        <f>SUM(I8:I12)/12</f>
        <v>87.564999999999998</v>
      </c>
      <c r="M8" s="280"/>
    </row>
    <row r="9" spans="1:13" ht="60" x14ac:dyDescent="0.25">
      <c r="A9" s="1081"/>
      <c r="B9" s="94" t="s">
        <v>953</v>
      </c>
      <c r="C9" s="95">
        <v>4</v>
      </c>
      <c r="D9" s="1082"/>
      <c r="E9" s="96">
        <f>C9*1</f>
        <v>4</v>
      </c>
      <c r="F9" s="97">
        <v>95</v>
      </c>
      <c r="G9" s="97">
        <v>88</v>
      </c>
      <c r="H9" s="97">
        <f t="shared" ref="H9:H22" si="0">AVERAGE(F9:G9)</f>
        <v>91.5</v>
      </c>
      <c r="I9" s="98">
        <v>246.84</v>
      </c>
      <c r="J9" s="558"/>
    </row>
    <row r="10" spans="1:13" x14ac:dyDescent="0.25">
      <c r="A10" s="1081"/>
      <c r="B10" s="94" t="s">
        <v>529</v>
      </c>
      <c r="C10" s="95">
        <v>2</v>
      </c>
      <c r="D10" s="1082"/>
      <c r="E10" s="96">
        <f t="shared" ref="E10:E12" si="1">C10*1</f>
        <v>2</v>
      </c>
      <c r="F10" s="97">
        <v>45</v>
      </c>
      <c r="G10" s="97">
        <v>45</v>
      </c>
      <c r="H10" s="97">
        <f t="shared" si="0"/>
        <v>45</v>
      </c>
      <c r="I10" s="98">
        <v>50.31</v>
      </c>
      <c r="J10" s="558"/>
      <c r="K10" s="99"/>
    </row>
    <row r="11" spans="1:13" ht="24" x14ac:dyDescent="0.25">
      <c r="A11" s="1081"/>
      <c r="B11" s="94" t="s">
        <v>530</v>
      </c>
      <c r="C11" s="95">
        <v>4</v>
      </c>
      <c r="D11" s="1082"/>
      <c r="E11" s="96">
        <f t="shared" si="1"/>
        <v>4</v>
      </c>
      <c r="F11" s="97">
        <v>129</v>
      </c>
      <c r="G11" s="97">
        <v>129</v>
      </c>
      <c r="H11" s="97">
        <f t="shared" si="0"/>
        <v>129</v>
      </c>
      <c r="I11" s="98">
        <v>380.88</v>
      </c>
      <c r="J11" s="558"/>
    </row>
    <row r="12" spans="1:13" ht="48" x14ac:dyDescent="0.25">
      <c r="A12" s="1081"/>
      <c r="B12" s="94" t="s">
        <v>531</v>
      </c>
      <c r="C12" s="95">
        <v>6</v>
      </c>
      <c r="D12" s="1082"/>
      <c r="E12" s="96">
        <f t="shared" si="1"/>
        <v>6</v>
      </c>
      <c r="F12" s="97">
        <v>15</v>
      </c>
      <c r="G12" s="97">
        <v>25</v>
      </c>
      <c r="H12" s="97">
        <f t="shared" si="0"/>
        <v>20</v>
      </c>
      <c r="I12" s="98">
        <v>75.87</v>
      </c>
      <c r="J12" s="558"/>
    </row>
    <row r="13" spans="1:13" x14ac:dyDescent="0.25">
      <c r="A13" s="1071" t="s">
        <v>357</v>
      </c>
      <c r="B13" s="100" t="s">
        <v>532</v>
      </c>
      <c r="C13" s="101">
        <v>4</v>
      </c>
      <c r="D13" s="1077">
        <v>2</v>
      </c>
      <c r="E13" s="102">
        <f>C13*2</f>
        <v>8</v>
      </c>
      <c r="F13" s="103">
        <v>149</v>
      </c>
      <c r="G13" s="103">
        <v>98</v>
      </c>
      <c r="H13" s="103">
        <f t="shared" si="0"/>
        <v>123.5</v>
      </c>
      <c r="I13" s="102">
        <v>593.76</v>
      </c>
      <c r="J13" s="1085">
        <f>SUM(I13:I17)/D13/12</f>
        <v>87.564999999999998</v>
      </c>
    </row>
    <row r="14" spans="1:13" ht="36" x14ac:dyDescent="0.25">
      <c r="A14" s="1071"/>
      <c r="B14" s="100" t="s">
        <v>533</v>
      </c>
      <c r="C14" s="101">
        <v>4</v>
      </c>
      <c r="D14" s="1077"/>
      <c r="E14" s="102">
        <f t="shared" ref="E14:E17" si="2">C14*2</f>
        <v>8</v>
      </c>
      <c r="F14" s="103">
        <v>95</v>
      </c>
      <c r="G14" s="103">
        <v>88</v>
      </c>
      <c r="H14" s="103">
        <f t="shared" si="0"/>
        <v>91.5</v>
      </c>
      <c r="I14" s="102">
        <v>493.68</v>
      </c>
      <c r="J14" s="1086"/>
    </row>
    <row r="15" spans="1:13" x14ac:dyDescent="0.25">
      <c r="A15" s="1071"/>
      <c r="B15" s="100" t="s">
        <v>529</v>
      </c>
      <c r="C15" s="101">
        <v>2</v>
      </c>
      <c r="D15" s="1077"/>
      <c r="E15" s="102">
        <f t="shared" si="2"/>
        <v>4</v>
      </c>
      <c r="F15" s="103">
        <v>45</v>
      </c>
      <c r="G15" s="103">
        <v>45</v>
      </c>
      <c r="H15" s="103">
        <f t="shared" si="0"/>
        <v>45</v>
      </c>
      <c r="I15" s="102">
        <v>100.62</v>
      </c>
      <c r="J15" s="1086"/>
    </row>
    <row r="16" spans="1:13" ht="24" x14ac:dyDescent="0.25">
      <c r="A16" s="1071"/>
      <c r="B16" s="100" t="s">
        <v>534</v>
      </c>
      <c r="C16" s="101">
        <v>4</v>
      </c>
      <c r="D16" s="1077"/>
      <c r="E16" s="102">
        <f t="shared" si="2"/>
        <v>8</v>
      </c>
      <c r="F16" s="103">
        <v>129</v>
      </c>
      <c r="G16" s="103">
        <v>129</v>
      </c>
      <c r="H16" s="103">
        <f t="shared" si="0"/>
        <v>129</v>
      </c>
      <c r="I16" s="102">
        <v>761.76</v>
      </c>
      <c r="J16" s="1086"/>
    </row>
    <row r="17" spans="1:10" ht="24" x14ac:dyDescent="0.25">
      <c r="A17" s="1071"/>
      <c r="B17" s="100" t="s">
        <v>535</v>
      </c>
      <c r="C17" s="101">
        <v>6</v>
      </c>
      <c r="D17" s="1077"/>
      <c r="E17" s="102">
        <f t="shared" si="2"/>
        <v>12</v>
      </c>
      <c r="F17" s="103">
        <v>15</v>
      </c>
      <c r="G17" s="103">
        <v>25</v>
      </c>
      <c r="H17" s="103">
        <f t="shared" si="0"/>
        <v>20</v>
      </c>
      <c r="I17" s="102">
        <v>151.74</v>
      </c>
      <c r="J17" s="1086"/>
    </row>
    <row r="18" spans="1:10" ht="24" x14ac:dyDescent="0.25">
      <c r="A18" s="1081" t="s">
        <v>523</v>
      </c>
      <c r="B18" s="104" t="s">
        <v>536</v>
      </c>
      <c r="C18" s="95">
        <v>2</v>
      </c>
      <c r="D18" s="1082">
        <v>1</v>
      </c>
      <c r="E18" s="96">
        <f>C18*1</f>
        <v>2</v>
      </c>
      <c r="F18" s="105">
        <v>149</v>
      </c>
      <c r="G18" s="105">
        <v>98</v>
      </c>
      <c r="H18" s="105">
        <f t="shared" si="0"/>
        <v>123.5</v>
      </c>
      <c r="I18" s="106">
        <v>109.44</v>
      </c>
      <c r="J18" s="1083">
        <f>SUM(I18:I22)/D18/12</f>
        <v>35.580000000000005</v>
      </c>
    </row>
    <row r="19" spans="1:10" ht="24" x14ac:dyDescent="0.25">
      <c r="A19" s="1081"/>
      <c r="B19" s="104" t="s">
        <v>537</v>
      </c>
      <c r="C19" s="95">
        <v>2</v>
      </c>
      <c r="D19" s="1082"/>
      <c r="E19" s="96">
        <f t="shared" ref="E19:E22" si="3">C19*1</f>
        <v>2</v>
      </c>
      <c r="F19" s="105">
        <v>95</v>
      </c>
      <c r="G19" s="105">
        <v>88</v>
      </c>
      <c r="H19" s="105">
        <f t="shared" si="0"/>
        <v>91.5</v>
      </c>
      <c r="I19" s="106">
        <v>77.099999999999994</v>
      </c>
      <c r="J19" s="558"/>
    </row>
    <row r="20" spans="1:10" x14ac:dyDescent="0.25">
      <c r="A20" s="1081"/>
      <c r="B20" s="104" t="s">
        <v>538</v>
      </c>
      <c r="C20" s="95">
        <v>2</v>
      </c>
      <c r="D20" s="1082"/>
      <c r="E20" s="96">
        <f t="shared" si="3"/>
        <v>2</v>
      </c>
      <c r="F20" s="105">
        <v>45</v>
      </c>
      <c r="G20" s="105">
        <v>45</v>
      </c>
      <c r="H20" s="105">
        <f t="shared" si="0"/>
        <v>45</v>
      </c>
      <c r="I20" s="106">
        <v>50.31</v>
      </c>
      <c r="J20" s="558"/>
    </row>
    <row r="21" spans="1:10" ht="24" x14ac:dyDescent="0.25">
      <c r="A21" s="1081"/>
      <c r="B21" s="104" t="s">
        <v>539</v>
      </c>
      <c r="C21" s="95">
        <v>2</v>
      </c>
      <c r="D21" s="1082"/>
      <c r="E21" s="96">
        <f t="shared" si="3"/>
        <v>2</v>
      </c>
      <c r="F21" s="105">
        <v>129</v>
      </c>
      <c r="G21" s="105">
        <v>129</v>
      </c>
      <c r="H21" s="105">
        <f t="shared" si="0"/>
        <v>129</v>
      </c>
      <c r="I21" s="106">
        <v>164.76</v>
      </c>
      <c r="J21" s="558"/>
    </row>
    <row r="22" spans="1:10" ht="24" x14ac:dyDescent="0.25">
      <c r="A22" s="1081"/>
      <c r="B22" s="104" t="s">
        <v>540</v>
      </c>
      <c r="C22" s="95">
        <v>2</v>
      </c>
      <c r="D22" s="1082"/>
      <c r="E22" s="96">
        <f t="shared" si="3"/>
        <v>2</v>
      </c>
      <c r="F22" s="105">
        <v>15</v>
      </c>
      <c r="G22" s="105">
        <v>25</v>
      </c>
      <c r="H22" s="105">
        <f t="shared" si="0"/>
        <v>20</v>
      </c>
      <c r="I22" s="106">
        <v>25.35</v>
      </c>
      <c r="J22" s="558"/>
    </row>
    <row r="23" spans="1:10" ht="24" x14ac:dyDescent="0.25">
      <c r="A23" s="1071" t="s">
        <v>603</v>
      </c>
      <c r="B23" s="107" t="s">
        <v>536</v>
      </c>
      <c r="C23" s="108">
        <v>4</v>
      </c>
      <c r="D23" s="1084">
        <v>14</v>
      </c>
      <c r="E23" s="102">
        <f>C23*14</f>
        <v>56</v>
      </c>
      <c r="F23" s="103">
        <v>149</v>
      </c>
      <c r="G23" s="103">
        <v>98</v>
      </c>
      <c r="H23" s="103">
        <f>AVERAGE(F23:G23)</f>
        <v>123.5</v>
      </c>
      <c r="I23" s="109">
        <v>3064.32</v>
      </c>
      <c r="J23" s="1085">
        <f>SUM(I23:I27)/D23/12</f>
        <v>55.335000000000008</v>
      </c>
    </row>
    <row r="24" spans="1:10" ht="24" x14ac:dyDescent="0.25">
      <c r="A24" s="1071"/>
      <c r="B24" s="107" t="s">
        <v>537</v>
      </c>
      <c r="C24" s="102">
        <v>4</v>
      </c>
      <c r="D24" s="1084"/>
      <c r="E24" s="102">
        <f t="shared" ref="E24:E27" si="4">C24*14</f>
        <v>56</v>
      </c>
      <c r="F24" s="103">
        <v>95</v>
      </c>
      <c r="G24" s="103">
        <v>88</v>
      </c>
      <c r="H24" s="103">
        <f t="shared" ref="H24:H25" si="5">AVERAGE(F24:G24)</f>
        <v>91.5</v>
      </c>
      <c r="I24" s="109">
        <v>2158.8000000000002</v>
      </c>
      <c r="J24" s="1086"/>
    </row>
    <row r="25" spans="1:10" x14ac:dyDescent="0.25">
      <c r="A25" s="1071"/>
      <c r="B25" s="107" t="s">
        <v>538</v>
      </c>
      <c r="C25" s="102">
        <v>2</v>
      </c>
      <c r="D25" s="1084"/>
      <c r="E25" s="102">
        <f t="shared" si="4"/>
        <v>28</v>
      </c>
      <c r="F25" s="103">
        <v>45</v>
      </c>
      <c r="G25" s="103">
        <v>45</v>
      </c>
      <c r="H25" s="103">
        <f t="shared" si="5"/>
        <v>45</v>
      </c>
      <c r="I25" s="109">
        <v>704.34</v>
      </c>
      <c r="J25" s="1086"/>
    </row>
    <row r="26" spans="1:10" ht="24" x14ac:dyDescent="0.25">
      <c r="A26" s="1071"/>
      <c r="B26" s="107" t="s">
        <v>539</v>
      </c>
      <c r="C26" s="102">
        <v>2</v>
      </c>
      <c r="D26" s="1084"/>
      <c r="E26" s="102">
        <f t="shared" si="4"/>
        <v>28</v>
      </c>
      <c r="F26" s="103">
        <v>129</v>
      </c>
      <c r="G26" s="103">
        <v>129</v>
      </c>
      <c r="H26" s="103">
        <f>AVERAGE(F26:G26)</f>
        <v>129</v>
      </c>
      <c r="I26" s="109">
        <v>2306.64</v>
      </c>
      <c r="J26" s="1086"/>
    </row>
    <row r="27" spans="1:10" ht="24" x14ac:dyDescent="0.25">
      <c r="A27" s="1071"/>
      <c r="B27" s="107" t="s">
        <v>540</v>
      </c>
      <c r="C27" s="102">
        <v>6</v>
      </c>
      <c r="D27" s="1084"/>
      <c r="E27" s="102">
        <f t="shared" si="4"/>
        <v>84</v>
      </c>
      <c r="F27" s="103">
        <v>15</v>
      </c>
      <c r="G27" s="103">
        <v>25</v>
      </c>
      <c r="H27" s="103">
        <f t="shared" ref="H27" si="6">AVERAGE(F27:G27)</f>
        <v>20</v>
      </c>
      <c r="I27" s="109">
        <v>1062.18</v>
      </c>
      <c r="J27" s="1086"/>
    </row>
    <row r="28" spans="1:10" ht="24" x14ac:dyDescent="0.25">
      <c r="A28" s="1081" t="s">
        <v>620</v>
      </c>
      <c r="B28" s="104" t="s">
        <v>536</v>
      </c>
      <c r="C28" s="110">
        <v>4</v>
      </c>
      <c r="D28" s="1087">
        <v>1</v>
      </c>
      <c r="E28" s="96">
        <f>C28*1</f>
        <v>4</v>
      </c>
      <c r="F28" s="105">
        <v>149</v>
      </c>
      <c r="G28" s="105">
        <v>98</v>
      </c>
      <c r="H28" s="97">
        <f>AVERAGE(F28:G28)</f>
        <v>123.5</v>
      </c>
      <c r="I28" s="106">
        <v>218.88</v>
      </c>
      <c r="J28" s="1083">
        <f>SUM(I28:I32)/D28/12</f>
        <v>55.335000000000001</v>
      </c>
    </row>
    <row r="29" spans="1:10" ht="24" x14ac:dyDescent="0.25">
      <c r="A29" s="1081"/>
      <c r="B29" s="104" t="s">
        <v>537</v>
      </c>
      <c r="C29" s="110">
        <v>4</v>
      </c>
      <c r="D29" s="1087"/>
      <c r="E29" s="96">
        <f t="shared" ref="E29:E32" si="7">C29*1</f>
        <v>4</v>
      </c>
      <c r="F29" s="105">
        <v>95</v>
      </c>
      <c r="G29" s="105">
        <v>88</v>
      </c>
      <c r="H29" s="97">
        <f t="shared" ref="H29:H32" si="8">AVERAGE(F29:G29)</f>
        <v>91.5</v>
      </c>
      <c r="I29" s="106">
        <v>154.19999999999999</v>
      </c>
      <c r="J29" s="558"/>
    </row>
    <row r="30" spans="1:10" ht="24" x14ac:dyDescent="0.25">
      <c r="A30" s="1081"/>
      <c r="B30" s="104" t="s">
        <v>541</v>
      </c>
      <c r="C30" s="110">
        <v>2</v>
      </c>
      <c r="D30" s="1087"/>
      <c r="E30" s="96">
        <f t="shared" si="7"/>
        <v>2</v>
      </c>
      <c r="F30" s="105">
        <v>45</v>
      </c>
      <c r="G30" s="105">
        <v>45</v>
      </c>
      <c r="H30" s="97">
        <f t="shared" si="8"/>
        <v>45</v>
      </c>
      <c r="I30" s="106">
        <v>50.31</v>
      </c>
      <c r="J30" s="558"/>
    </row>
    <row r="31" spans="1:10" ht="36" x14ac:dyDescent="0.25">
      <c r="A31" s="1081"/>
      <c r="B31" s="104" t="s">
        <v>542</v>
      </c>
      <c r="C31" s="110">
        <v>2</v>
      </c>
      <c r="D31" s="1087"/>
      <c r="E31" s="96">
        <f t="shared" si="7"/>
        <v>2</v>
      </c>
      <c r="F31" s="105">
        <v>129</v>
      </c>
      <c r="G31" s="105">
        <v>129</v>
      </c>
      <c r="H31" s="97">
        <f t="shared" si="8"/>
        <v>129</v>
      </c>
      <c r="I31" s="106">
        <v>164.76</v>
      </c>
      <c r="J31" s="558"/>
    </row>
    <row r="32" spans="1:10" ht="24" x14ac:dyDescent="0.25">
      <c r="A32" s="1081"/>
      <c r="B32" s="104" t="s">
        <v>540</v>
      </c>
      <c r="C32" s="110">
        <v>6</v>
      </c>
      <c r="D32" s="1087"/>
      <c r="E32" s="96">
        <f t="shared" si="7"/>
        <v>6</v>
      </c>
      <c r="F32" s="105">
        <v>15</v>
      </c>
      <c r="G32" s="105">
        <v>25</v>
      </c>
      <c r="H32" s="97">
        <f t="shared" si="8"/>
        <v>20</v>
      </c>
      <c r="I32" s="106">
        <v>75.87</v>
      </c>
      <c r="J32" s="558"/>
    </row>
    <row r="33" spans="1:10" x14ac:dyDescent="0.25">
      <c r="A33" s="1075" t="s">
        <v>381</v>
      </c>
      <c r="B33" s="1076"/>
      <c r="C33" s="1076"/>
      <c r="D33" s="1077"/>
      <c r="E33" s="1078">
        <f>SUM(I8:I32)</f>
        <v>13539.599999999999</v>
      </c>
      <c r="F33" s="1079"/>
      <c r="G33" s="1079"/>
      <c r="H33" s="1079"/>
      <c r="I33" s="1080"/>
      <c r="J33" s="111">
        <f>SUM(J8:J32)</f>
        <v>321.38</v>
      </c>
    </row>
    <row r="36" spans="1:10" x14ac:dyDescent="0.25">
      <c r="B36" s="99"/>
      <c r="F36" s="99" t="e">
        <f>#REF!*30%</f>
        <v>#REF!</v>
      </c>
    </row>
  </sheetData>
  <mergeCells count="27">
    <mergeCell ref="A8:A12"/>
    <mergeCell ref="D8:D12"/>
    <mergeCell ref="J8:J12"/>
    <mergeCell ref="A13:A17"/>
    <mergeCell ref="D13:D17"/>
    <mergeCell ref="J13:J17"/>
    <mergeCell ref="A33:D33"/>
    <mergeCell ref="E33:I33"/>
    <mergeCell ref="A18:A22"/>
    <mergeCell ref="D18:D22"/>
    <mergeCell ref="J18:J22"/>
    <mergeCell ref="A23:A27"/>
    <mergeCell ref="D23:D27"/>
    <mergeCell ref="J23:J27"/>
    <mergeCell ref="A28:A32"/>
    <mergeCell ref="D28:D32"/>
    <mergeCell ref="J28:J32"/>
    <mergeCell ref="A1:J1"/>
    <mergeCell ref="A5:A7"/>
    <mergeCell ref="B5:B7"/>
    <mergeCell ref="C5:C7"/>
    <mergeCell ref="D5:D7"/>
    <mergeCell ref="E5:E7"/>
    <mergeCell ref="F6:G6"/>
    <mergeCell ref="H6:H7"/>
    <mergeCell ref="I5:I7"/>
    <mergeCell ref="J5:J7"/>
  </mergeCells>
  <printOptions horizontalCentered="1"/>
  <pageMargins left="0.53149606299212604" right="0.53149606299212604" top="1.1811023622047245" bottom="0.98425196850393704"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7"/>
  <sheetViews>
    <sheetView zoomScale="110" zoomScaleNormal="110" workbookViewId="0">
      <selection activeCell="J17" sqref="J17"/>
    </sheetView>
  </sheetViews>
  <sheetFormatPr defaultRowHeight="15" x14ac:dyDescent="0.25"/>
  <cols>
    <col min="1" max="1" width="6.42578125" customWidth="1"/>
    <col min="2" max="2" width="60.42578125" customWidth="1"/>
    <col min="3" max="3" width="7" customWidth="1"/>
    <col min="4" max="5" width="9.28515625" bestFit="1" customWidth="1"/>
    <col min="6" max="6" width="12.85546875" customWidth="1"/>
  </cols>
  <sheetData>
    <row r="2" spans="1:6" x14ac:dyDescent="0.25">
      <c r="A2" s="530" t="s">
        <v>178</v>
      </c>
      <c r="B2" s="530"/>
      <c r="C2" s="530"/>
      <c r="D2" s="530"/>
      <c r="E2" s="530"/>
      <c r="F2" s="530"/>
    </row>
    <row r="6" spans="1:6" x14ac:dyDescent="0.25">
      <c r="A6" s="14" t="s">
        <v>151</v>
      </c>
      <c r="B6" s="14" t="s">
        <v>152</v>
      </c>
      <c r="C6" s="14" t="s">
        <v>156</v>
      </c>
      <c r="D6" s="14" t="s">
        <v>153</v>
      </c>
      <c r="E6" s="14" t="s">
        <v>154</v>
      </c>
      <c r="F6" s="14" t="s">
        <v>155</v>
      </c>
    </row>
    <row r="7" spans="1:6" ht="19.149999999999999" customHeight="1" x14ac:dyDescent="0.25">
      <c r="A7" s="14">
        <v>1</v>
      </c>
      <c r="B7" s="16" t="s">
        <v>158</v>
      </c>
      <c r="C7" s="17" t="s">
        <v>157</v>
      </c>
      <c r="D7" s="18">
        <v>1000</v>
      </c>
      <c r="E7" s="19">
        <v>12.59</v>
      </c>
      <c r="F7" s="19">
        <f>D7*E7</f>
        <v>12590</v>
      </c>
    </row>
    <row r="8" spans="1:6" x14ac:dyDescent="0.25">
      <c r="A8" s="14">
        <v>2</v>
      </c>
      <c r="B8" s="16" t="s">
        <v>159</v>
      </c>
      <c r="C8" s="17" t="s">
        <v>157</v>
      </c>
      <c r="D8" s="18">
        <v>50</v>
      </c>
      <c r="E8" s="19">
        <v>25.89</v>
      </c>
      <c r="F8" s="19">
        <f t="shared" ref="F8:F27" si="0">D8*E8</f>
        <v>1294.5</v>
      </c>
    </row>
    <row r="9" spans="1:6" x14ac:dyDescent="0.25">
      <c r="A9" s="14">
        <v>3</v>
      </c>
      <c r="B9" s="13" t="s">
        <v>150</v>
      </c>
      <c r="C9" s="14" t="s">
        <v>92</v>
      </c>
      <c r="D9" s="18">
        <v>14960</v>
      </c>
      <c r="E9" s="19">
        <v>3.51</v>
      </c>
      <c r="F9" s="19">
        <f t="shared" si="0"/>
        <v>52509.599999999999</v>
      </c>
    </row>
    <row r="10" spans="1:6" x14ac:dyDescent="0.25">
      <c r="A10" s="14">
        <v>4</v>
      </c>
      <c r="B10" s="20" t="s">
        <v>160</v>
      </c>
      <c r="C10" s="14" t="s">
        <v>92</v>
      </c>
      <c r="D10" s="18">
        <v>6000</v>
      </c>
      <c r="E10" s="19">
        <v>3.95</v>
      </c>
      <c r="F10" s="19">
        <f t="shared" si="0"/>
        <v>23700</v>
      </c>
    </row>
    <row r="11" spans="1:6" x14ac:dyDescent="0.25">
      <c r="A11" s="15">
        <v>5</v>
      </c>
      <c r="B11" s="20" t="s">
        <v>161</v>
      </c>
      <c r="C11" s="17" t="s">
        <v>157</v>
      </c>
      <c r="D11" s="18">
        <v>310</v>
      </c>
      <c r="E11" s="19">
        <v>11.21</v>
      </c>
      <c r="F11" s="19">
        <f t="shared" si="0"/>
        <v>3475.1000000000004</v>
      </c>
    </row>
    <row r="12" spans="1:6" x14ac:dyDescent="0.25">
      <c r="A12" s="15">
        <v>6</v>
      </c>
      <c r="B12" s="20" t="s">
        <v>162</v>
      </c>
      <c r="C12" s="17" t="s">
        <v>157</v>
      </c>
      <c r="D12" s="18">
        <v>25</v>
      </c>
      <c r="E12" s="19">
        <v>100</v>
      </c>
      <c r="F12" s="19">
        <f t="shared" si="0"/>
        <v>2500</v>
      </c>
    </row>
    <row r="13" spans="1:6" x14ac:dyDescent="0.25">
      <c r="A13" s="15">
        <v>7</v>
      </c>
      <c r="B13" s="20" t="s">
        <v>163</v>
      </c>
      <c r="C13" s="17" t="s">
        <v>157</v>
      </c>
      <c r="D13" s="21">
        <v>24</v>
      </c>
      <c r="E13" s="22">
        <v>100</v>
      </c>
      <c r="F13" s="22">
        <f t="shared" si="0"/>
        <v>2400</v>
      </c>
    </row>
    <row r="14" spans="1:6" x14ac:dyDescent="0.25">
      <c r="A14" s="15">
        <v>8</v>
      </c>
      <c r="B14" s="20" t="s">
        <v>164</v>
      </c>
      <c r="C14" s="17" t="s">
        <v>157</v>
      </c>
      <c r="D14" s="18">
        <v>60</v>
      </c>
      <c r="E14" s="19">
        <v>100</v>
      </c>
      <c r="F14" s="19">
        <f t="shared" si="0"/>
        <v>6000</v>
      </c>
    </row>
    <row r="15" spans="1:6" x14ac:dyDescent="0.25">
      <c r="A15" s="15">
        <v>9</v>
      </c>
      <c r="B15" s="20" t="s">
        <v>165</v>
      </c>
      <c r="C15" s="17" t="s">
        <v>157</v>
      </c>
      <c r="D15" s="18">
        <v>2119</v>
      </c>
      <c r="E15" s="19">
        <v>418.75</v>
      </c>
      <c r="F15" s="19">
        <f t="shared" si="0"/>
        <v>887331.25</v>
      </c>
    </row>
    <row r="16" spans="1:6" x14ac:dyDescent="0.25">
      <c r="A16" s="15">
        <v>10</v>
      </c>
      <c r="B16" s="20" t="s">
        <v>166</v>
      </c>
      <c r="C16" s="17" t="s">
        <v>157</v>
      </c>
      <c r="D16" s="21">
        <v>849</v>
      </c>
      <c r="E16" s="19">
        <v>383.9</v>
      </c>
      <c r="F16" s="19">
        <f t="shared" si="0"/>
        <v>325931.09999999998</v>
      </c>
    </row>
    <row r="17" spans="1:6" x14ac:dyDescent="0.25">
      <c r="A17" s="15">
        <v>11</v>
      </c>
      <c r="B17" s="20" t="s">
        <v>167</v>
      </c>
      <c r="C17" s="17" t="s">
        <v>157</v>
      </c>
      <c r="D17" s="18">
        <v>186</v>
      </c>
      <c r="E17" s="19">
        <v>389.77</v>
      </c>
      <c r="F17" s="19">
        <f t="shared" si="0"/>
        <v>72497.22</v>
      </c>
    </row>
    <row r="18" spans="1:6" x14ac:dyDescent="0.25">
      <c r="A18" s="15">
        <v>12</v>
      </c>
      <c r="B18" s="20" t="s">
        <v>168</v>
      </c>
      <c r="C18" s="17" t="s">
        <v>157</v>
      </c>
      <c r="D18" s="18">
        <v>273</v>
      </c>
      <c r="E18" s="19">
        <v>595.69000000000005</v>
      </c>
      <c r="F18" s="19">
        <f t="shared" si="0"/>
        <v>162623.37000000002</v>
      </c>
    </row>
    <row r="19" spans="1:6" x14ac:dyDescent="0.25">
      <c r="A19" s="15">
        <v>13</v>
      </c>
      <c r="B19" s="20" t="s">
        <v>169</v>
      </c>
      <c r="C19" s="17" t="s">
        <v>157</v>
      </c>
      <c r="D19" s="18">
        <v>282</v>
      </c>
      <c r="E19" s="19">
        <v>424.29</v>
      </c>
      <c r="F19" s="19">
        <f t="shared" si="0"/>
        <v>119649.78</v>
      </c>
    </row>
    <row r="20" spans="1:6" x14ac:dyDescent="0.25">
      <c r="A20" s="15">
        <v>14</v>
      </c>
      <c r="B20" s="20" t="s">
        <v>170</v>
      </c>
      <c r="C20" s="17" t="s">
        <v>157</v>
      </c>
      <c r="D20" s="18">
        <v>287</v>
      </c>
      <c r="E20" s="19">
        <v>598.96</v>
      </c>
      <c r="F20" s="19">
        <f t="shared" si="0"/>
        <v>171901.52000000002</v>
      </c>
    </row>
    <row r="21" spans="1:6" x14ac:dyDescent="0.25">
      <c r="A21" s="14">
        <v>15</v>
      </c>
      <c r="B21" s="20" t="s">
        <v>171</v>
      </c>
      <c r="C21" s="17" t="s">
        <v>157</v>
      </c>
      <c r="D21" s="18">
        <v>264</v>
      </c>
      <c r="E21" s="19">
        <v>1297.78</v>
      </c>
      <c r="F21" s="19">
        <f t="shared" si="0"/>
        <v>342613.92</v>
      </c>
    </row>
    <row r="22" spans="1:6" x14ac:dyDescent="0.25">
      <c r="A22" s="14">
        <v>16</v>
      </c>
      <c r="B22" s="20" t="s">
        <v>172</v>
      </c>
      <c r="C22" s="17" t="s">
        <v>157</v>
      </c>
      <c r="D22" s="18">
        <v>50</v>
      </c>
      <c r="E22" s="19">
        <v>124.81</v>
      </c>
      <c r="F22" s="19">
        <f t="shared" si="0"/>
        <v>6240.5</v>
      </c>
    </row>
    <row r="23" spans="1:6" x14ac:dyDescent="0.25">
      <c r="A23" s="14">
        <v>17</v>
      </c>
      <c r="B23" s="20" t="s">
        <v>173</v>
      </c>
      <c r="C23" s="17" t="s">
        <v>157</v>
      </c>
      <c r="D23" s="18">
        <v>3</v>
      </c>
      <c r="E23" s="19">
        <v>485.16</v>
      </c>
      <c r="F23" s="19">
        <f t="shared" si="0"/>
        <v>1455.48</v>
      </c>
    </row>
    <row r="24" spans="1:6" x14ac:dyDescent="0.25">
      <c r="A24" s="14">
        <v>18</v>
      </c>
      <c r="B24" s="20" t="s">
        <v>174</v>
      </c>
      <c r="C24" s="17" t="s">
        <v>157</v>
      </c>
      <c r="D24" s="18">
        <v>1</v>
      </c>
      <c r="E24" s="19">
        <v>1337.28</v>
      </c>
      <c r="F24" s="19">
        <f t="shared" si="0"/>
        <v>1337.28</v>
      </c>
    </row>
    <row r="25" spans="1:6" ht="19.149999999999999" customHeight="1" x14ac:dyDescent="0.25">
      <c r="A25" s="24">
        <v>19</v>
      </c>
      <c r="B25" s="26" t="s">
        <v>175</v>
      </c>
      <c r="C25" s="17" t="s">
        <v>157</v>
      </c>
      <c r="D25" s="14">
        <v>3</v>
      </c>
      <c r="E25" s="25">
        <v>9713.14</v>
      </c>
      <c r="F25" s="19">
        <f t="shared" si="0"/>
        <v>29139.42</v>
      </c>
    </row>
    <row r="26" spans="1:6" x14ac:dyDescent="0.25">
      <c r="A26" s="24">
        <v>20</v>
      </c>
      <c r="B26" s="20" t="s">
        <v>176</v>
      </c>
      <c r="C26" s="17" t="s">
        <v>157</v>
      </c>
      <c r="D26" s="13">
        <v>72</v>
      </c>
      <c r="E26" s="13">
        <v>978.32</v>
      </c>
      <c r="F26" s="19">
        <f t="shared" si="0"/>
        <v>70439.040000000008</v>
      </c>
    </row>
    <row r="27" spans="1:6" x14ac:dyDescent="0.25">
      <c r="A27" s="24">
        <v>21</v>
      </c>
      <c r="B27" s="20" t="s">
        <v>177</v>
      </c>
      <c r="C27" s="17" t="s">
        <v>157</v>
      </c>
      <c r="D27" s="13">
        <v>30</v>
      </c>
      <c r="E27" s="23">
        <v>5741.82</v>
      </c>
      <c r="F27" s="19">
        <f t="shared" si="0"/>
        <v>172254.59999999998</v>
      </c>
    </row>
  </sheetData>
  <mergeCells count="1">
    <mergeCell ref="A2:F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2:J138"/>
  <sheetViews>
    <sheetView view="pageBreakPreview" topLeftCell="A108" zoomScale="120" zoomScaleNormal="130" zoomScaleSheetLayoutView="120" workbookViewId="0">
      <selection activeCell="A97" sqref="A97:G97"/>
    </sheetView>
  </sheetViews>
  <sheetFormatPr defaultRowHeight="12.75" x14ac:dyDescent="0.2"/>
  <cols>
    <col min="1" max="1" width="5.85546875" style="91" customWidth="1"/>
    <col min="2" max="2" width="32.28515625" style="91" bestFit="1" customWidth="1"/>
    <col min="3" max="3" width="10.7109375" style="91" bestFit="1" customWidth="1"/>
    <col min="4" max="4" width="11" style="91" bestFit="1" customWidth="1"/>
    <col min="5" max="5" width="12.140625" style="91" customWidth="1"/>
    <col min="6" max="6" width="8" style="91" bestFit="1" customWidth="1"/>
    <col min="7" max="7" width="13.140625" style="91" bestFit="1" customWidth="1"/>
    <col min="8" max="8" width="9.140625" style="91"/>
    <col min="9" max="9" width="14.5703125" style="91" customWidth="1"/>
    <col min="10" max="10" width="9.28515625" style="91" customWidth="1"/>
    <col min="11" max="16384" width="9.140625" style="91"/>
  </cols>
  <sheetData>
    <row r="2" spans="1:8" x14ac:dyDescent="0.2">
      <c r="A2" s="580" t="s">
        <v>311</v>
      </c>
      <c r="B2" s="580"/>
      <c r="C2" s="580"/>
      <c r="D2" s="580"/>
      <c r="E2" s="580"/>
      <c r="F2" s="580"/>
      <c r="G2" s="580"/>
    </row>
    <row r="3" spans="1:8" x14ac:dyDescent="0.2">
      <c r="A3" s="583" t="s">
        <v>312</v>
      </c>
      <c r="B3" s="584"/>
      <c r="C3" s="584"/>
      <c r="D3" s="584"/>
      <c r="E3" s="584"/>
      <c r="F3" s="584"/>
      <c r="G3" s="585"/>
    </row>
    <row r="4" spans="1:8" x14ac:dyDescent="0.2">
      <c r="A4" s="583" t="s">
        <v>313</v>
      </c>
      <c r="B4" s="584"/>
      <c r="C4" s="584"/>
      <c r="D4" s="584"/>
      <c r="E4" s="584"/>
      <c r="F4" s="584"/>
      <c r="G4" s="585"/>
    </row>
    <row r="5" spans="1:8" x14ac:dyDescent="0.2">
      <c r="A5" s="586" t="s">
        <v>314</v>
      </c>
      <c r="B5" s="587"/>
      <c r="C5" s="587"/>
      <c r="D5" s="587"/>
      <c r="E5" s="587"/>
      <c r="F5" s="587"/>
      <c r="G5" s="588"/>
    </row>
    <row r="6" spans="1:8" x14ac:dyDescent="0.2">
      <c r="A6" s="586" t="s">
        <v>315</v>
      </c>
      <c r="B6" s="587"/>
      <c r="C6" s="587"/>
      <c r="D6" s="587"/>
      <c r="E6" s="587"/>
      <c r="F6" s="587"/>
      <c r="G6" s="588"/>
    </row>
    <row r="7" spans="1:8" x14ac:dyDescent="0.2">
      <c r="A7" s="589" t="s">
        <v>927</v>
      </c>
      <c r="B7" s="589"/>
      <c r="C7" s="589"/>
      <c r="D7" s="589"/>
      <c r="E7" s="589"/>
      <c r="F7" s="589"/>
      <c r="G7" s="589"/>
    </row>
    <row r="8" spans="1:8" x14ac:dyDescent="0.2">
      <c r="A8" s="589" t="s">
        <v>928</v>
      </c>
      <c r="B8" s="589"/>
      <c r="C8" s="589"/>
      <c r="D8" s="589"/>
      <c r="E8" s="589"/>
      <c r="F8" s="589"/>
      <c r="G8" s="589"/>
    </row>
    <row r="9" spans="1:8" x14ac:dyDescent="0.2">
      <c r="A9" s="589" t="s">
        <v>929</v>
      </c>
      <c r="B9" s="589"/>
      <c r="C9" s="589"/>
      <c r="D9" s="589"/>
      <c r="E9" s="589"/>
      <c r="F9" s="589"/>
      <c r="G9" s="589"/>
    </row>
    <row r="10" spans="1:8" ht="21.75" customHeight="1" x14ac:dyDescent="0.2">
      <c r="A10" s="590" t="s">
        <v>1156</v>
      </c>
      <c r="B10" s="591"/>
      <c r="C10" s="591"/>
      <c r="D10" s="591"/>
      <c r="E10" s="591"/>
      <c r="F10" s="591"/>
      <c r="G10" s="591"/>
    </row>
    <row r="11" spans="1:8" x14ac:dyDescent="0.2">
      <c r="A11" s="551" t="s">
        <v>495</v>
      </c>
      <c r="B11" s="551"/>
      <c r="C11" s="551"/>
      <c r="D11" s="551"/>
      <c r="E11" s="551"/>
      <c r="F11" s="551"/>
      <c r="G11" s="551"/>
    </row>
    <row r="12" spans="1:8" ht="49.5" customHeight="1" x14ac:dyDescent="0.2">
      <c r="A12" s="554" t="s">
        <v>384</v>
      </c>
      <c r="B12" s="554"/>
      <c r="C12" s="485" t="s">
        <v>492</v>
      </c>
      <c r="D12" s="485" t="s">
        <v>385</v>
      </c>
      <c r="E12" s="485" t="s">
        <v>493</v>
      </c>
      <c r="F12" s="485" t="s">
        <v>386</v>
      </c>
      <c r="G12" s="485" t="s">
        <v>494</v>
      </c>
    </row>
    <row r="13" spans="1:8" x14ac:dyDescent="0.2">
      <c r="A13" s="581" t="s">
        <v>387</v>
      </c>
      <c r="B13" s="556"/>
      <c r="C13" s="266" t="s">
        <v>388</v>
      </c>
      <c r="D13" s="266" t="s">
        <v>389</v>
      </c>
      <c r="E13" s="266" t="s">
        <v>390</v>
      </c>
      <c r="F13" s="266" t="s">
        <v>391</v>
      </c>
      <c r="G13" s="266" t="s">
        <v>392</v>
      </c>
    </row>
    <row r="14" spans="1:8" x14ac:dyDescent="0.2">
      <c r="A14" s="267" t="s">
        <v>393</v>
      </c>
      <c r="B14" s="268" t="str">
        <f>'Eng. Eletric'!A16</f>
        <v>Engenheiro(a) Eletricista de Manutenção</v>
      </c>
      <c r="C14" s="269">
        <f>'Eng. Eletric'!G147</f>
        <v>14203.320989502696</v>
      </c>
      <c r="D14" s="270">
        <v>1</v>
      </c>
      <c r="E14" s="269">
        <f>C14*D14</f>
        <v>14203.320989502696</v>
      </c>
      <c r="F14" s="270">
        <v>1</v>
      </c>
      <c r="G14" s="269">
        <f>E14*F14</f>
        <v>14203.320989502696</v>
      </c>
      <c r="H14" s="302"/>
    </row>
    <row r="15" spans="1:8" x14ac:dyDescent="0.2">
      <c r="A15" s="267" t="s">
        <v>394</v>
      </c>
      <c r="B15" s="268" t="str">
        <f>Encarreg!A16</f>
        <v xml:space="preserve"> Encarregado(a) Geral de Manutenção </v>
      </c>
      <c r="C15" s="269">
        <f>Encarreg!G147</f>
        <v>6192.0694634539686</v>
      </c>
      <c r="D15" s="270">
        <v>1</v>
      </c>
      <c r="E15" s="269">
        <f t="shared" ref="E15:E24" si="0">C15*D15</f>
        <v>6192.0694634539686</v>
      </c>
      <c r="F15" s="270">
        <v>1</v>
      </c>
      <c r="G15" s="269">
        <f>E15*F15</f>
        <v>6192.0694634539686</v>
      </c>
    </row>
    <row r="16" spans="1:8" x14ac:dyDescent="0.2">
      <c r="A16" s="267" t="s">
        <v>395</v>
      </c>
      <c r="B16" s="271" t="str">
        <f>'Tec. Eletron.'!A16</f>
        <v xml:space="preserve"> Técnico(a) Eletrônico em Geral</v>
      </c>
      <c r="C16" s="269">
        <f>'Tec. Eletron.'!G147</f>
        <v>4353.2811815133582</v>
      </c>
      <c r="D16" s="270">
        <v>1</v>
      </c>
      <c r="E16" s="269">
        <f t="shared" si="0"/>
        <v>4353.2811815133582</v>
      </c>
      <c r="F16" s="270">
        <v>2</v>
      </c>
      <c r="G16" s="269">
        <f t="shared" ref="G16:G24" si="1">E16*F16</f>
        <v>8706.5623630267164</v>
      </c>
    </row>
    <row r="17" spans="1:10" ht="14.25" customHeight="1" x14ac:dyDescent="0.2">
      <c r="A17" s="267" t="s">
        <v>402</v>
      </c>
      <c r="B17" s="272" t="str">
        <f>'Téc. Eletromec.'!A16</f>
        <v xml:space="preserve"> Técnico(a) Eletromecânico de Grupo Gerador</v>
      </c>
      <c r="C17" s="269">
        <f>'Téc. Eletromec.'!G147</f>
        <v>1380.7672426005599</v>
      </c>
      <c r="D17" s="270">
        <v>1</v>
      </c>
      <c r="E17" s="269">
        <f t="shared" si="0"/>
        <v>1380.7672426005599</v>
      </c>
      <c r="F17" s="270">
        <v>1</v>
      </c>
      <c r="G17" s="269">
        <f t="shared" si="1"/>
        <v>1380.7672426005599</v>
      </c>
    </row>
    <row r="18" spans="1:10" x14ac:dyDescent="0.2">
      <c r="A18" s="267" t="s">
        <v>403</v>
      </c>
      <c r="B18" s="272" t="str">
        <f>Eletricista!A16</f>
        <v xml:space="preserve"> Eletricista de Manutenção Predial</v>
      </c>
      <c r="C18" s="269">
        <f>Eletricista!G147</f>
        <v>4979.2780957754494</v>
      </c>
      <c r="D18" s="270">
        <v>1</v>
      </c>
      <c r="E18" s="269">
        <f t="shared" si="0"/>
        <v>4979.2780957754494</v>
      </c>
      <c r="F18" s="270">
        <v>3</v>
      </c>
      <c r="G18" s="269">
        <f t="shared" si="1"/>
        <v>14937.834287326348</v>
      </c>
    </row>
    <row r="19" spans="1:10" x14ac:dyDescent="0.2">
      <c r="A19" s="267" t="s">
        <v>404</v>
      </c>
      <c r="B19" s="272" t="str">
        <f>Bombeiro!A16</f>
        <v xml:space="preserve"> Bombeiro Hidráulico de Manutenção </v>
      </c>
      <c r="C19" s="269">
        <f>Bombeiro!G147</f>
        <v>4785.1794942430624</v>
      </c>
      <c r="D19" s="270">
        <v>1</v>
      </c>
      <c r="E19" s="269">
        <f t="shared" si="0"/>
        <v>4785.1794942430624</v>
      </c>
      <c r="F19" s="270">
        <v>1</v>
      </c>
      <c r="G19" s="269">
        <f t="shared" si="1"/>
        <v>4785.1794942430624</v>
      </c>
    </row>
    <row r="20" spans="1:10" x14ac:dyDescent="0.2">
      <c r="A20" s="267" t="s">
        <v>405</v>
      </c>
      <c r="B20" s="272" t="str">
        <f>'Art. Manut'!A16</f>
        <v xml:space="preserve">Artífice/Marceneiro de Manutenção </v>
      </c>
      <c r="C20" s="269">
        <f>'Art. Manut'!G147</f>
        <v>4098.5066678363919</v>
      </c>
      <c r="D20" s="270">
        <v>1</v>
      </c>
      <c r="E20" s="269">
        <f t="shared" si="0"/>
        <v>4098.5066678363919</v>
      </c>
      <c r="F20" s="270">
        <v>2</v>
      </c>
      <c r="G20" s="269">
        <f t="shared" si="1"/>
        <v>8197.0133356727838</v>
      </c>
    </row>
    <row r="21" spans="1:10" x14ac:dyDescent="0.2">
      <c r="A21" s="267" t="s">
        <v>543</v>
      </c>
      <c r="B21" s="272" t="str">
        <f>'Elet. Plant-D'!A16</f>
        <v xml:space="preserve">Eletricista Plantonista Diurno </v>
      </c>
      <c r="C21" s="269">
        <f>'Elet. Plant-D'!G147</f>
        <v>4654.153648095984</v>
      </c>
      <c r="D21" s="270">
        <v>1</v>
      </c>
      <c r="E21" s="269">
        <f t="shared" si="0"/>
        <v>4654.153648095984</v>
      </c>
      <c r="F21" s="270">
        <v>2</v>
      </c>
      <c r="G21" s="269">
        <f t="shared" si="1"/>
        <v>9308.3072961919679</v>
      </c>
    </row>
    <row r="22" spans="1:10" x14ac:dyDescent="0.2">
      <c r="A22" s="273" t="s">
        <v>406</v>
      </c>
      <c r="B22" s="272" t="str">
        <f>'Elet. Plant-N'!A16</f>
        <v>Eletricista Plantonista Noturno</v>
      </c>
      <c r="C22" s="269">
        <f>'Elet. Plant-N'!G147</f>
        <v>5077.6745909737247</v>
      </c>
      <c r="D22" s="270">
        <v>1</v>
      </c>
      <c r="E22" s="269">
        <f t="shared" si="0"/>
        <v>5077.6745909737247</v>
      </c>
      <c r="F22" s="270">
        <v>2</v>
      </c>
      <c r="G22" s="269">
        <f t="shared" si="1"/>
        <v>10155.349181947449</v>
      </c>
    </row>
    <row r="23" spans="1:10" x14ac:dyDescent="0.2">
      <c r="A23" s="274" t="s">
        <v>407</v>
      </c>
      <c r="B23" s="275" t="str">
        <f>'Aj. Manut'!A16</f>
        <v xml:space="preserve"> Ajudante de Manutenção</v>
      </c>
      <c r="C23" s="269">
        <f>'Aj. Manut'!G147</f>
        <v>3189.7233326356213</v>
      </c>
      <c r="D23" s="270">
        <v>1</v>
      </c>
      <c r="E23" s="269">
        <f t="shared" si="0"/>
        <v>3189.7233326356213</v>
      </c>
      <c r="F23" s="270">
        <v>4</v>
      </c>
      <c r="G23" s="269">
        <f t="shared" si="1"/>
        <v>12758.893330542485</v>
      </c>
    </row>
    <row r="24" spans="1:10" x14ac:dyDescent="0.2">
      <c r="A24" s="274" t="s">
        <v>408</v>
      </c>
      <c r="B24" s="272" t="str">
        <f>'Téc. Adm'!A16</f>
        <v xml:space="preserve"> Técnico(a) Administrativo</v>
      </c>
      <c r="C24" s="269">
        <f>'Téc. Adm'!G147</f>
        <v>3253.6852038062593</v>
      </c>
      <c r="D24" s="270">
        <v>1</v>
      </c>
      <c r="E24" s="269">
        <f t="shared" si="0"/>
        <v>3253.6852038062593</v>
      </c>
      <c r="F24" s="270">
        <v>1</v>
      </c>
      <c r="G24" s="269">
        <f t="shared" si="1"/>
        <v>3253.6852038062593</v>
      </c>
    </row>
    <row r="25" spans="1:10" x14ac:dyDescent="0.2">
      <c r="A25" s="581" t="s">
        <v>941</v>
      </c>
      <c r="B25" s="582"/>
      <c r="C25" s="582"/>
      <c r="D25" s="582"/>
      <c r="E25" s="556"/>
      <c r="F25" s="276">
        <f>SUM(F14:F24)</f>
        <v>20</v>
      </c>
      <c r="G25" s="277">
        <f>SUM(G14:G24)</f>
        <v>93878.982188314287</v>
      </c>
    </row>
    <row r="26" spans="1:10" ht="9" customHeight="1" x14ac:dyDescent="0.2">
      <c r="A26" s="566"/>
      <c r="B26" s="566"/>
      <c r="C26" s="566"/>
      <c r="D26" s="566"/>
      <c r="E26" s="566"/>
      <c r="F26" s="566"/>
      <c r="G26" s="566"/>
    </row>
    <row r="27" spans="1:10" x14ac:dyDescent="0.2">
      <c r="A27" s="551" t="s">
        <v>396</v>
      </c>
      <c r="B27" s="551"/>
      <c r="C27" s="551"/>
      <c r="D27" s="551"/>
      <c r="E27" s="551"/>
      <c r="F27" s="551"/>
      <c r="G27" s="551"/>
    </row>
    <row r="28" spans="1:10" x14ac:dyDescent="0.2">
      <c r="A28" s="544" t="s">
        <v>397</v>
      </c>
      <c r="B28" s="544"/>
      <c r="C28" s="544"/>
      <c r="D28" s="544"/>
      <c r="E28" s="544"/>
      <c r="F28" s="544"/>
      <c r="G28" s="544"/>
    </row>
    <row r="29" spans="1:10" x14ac:dyDescent="0.2">
      <c r="A29" s="272"/>
      <c r="B29" s="568" t="s">
        <v>152</v>
      </c>
      <c r="C29" s="568"/>
      <c r="D29" s="568"/>
      <c r="E29" s="568"/>
      <c r="F29" s="568"/>
      <c r="G29" s="594" t="s">
        <v>331</v>
      </c>
    </row>
    <row r="30" spans="1:10" x14ac:dyDescent="0.2">
      <c r="A30" s="278" t="s">
        <v>316</v>
      </c>
      <c r="B30" s="546" t="s">
        <v>595</v>
      </c>
      <c r="C30" s="546"/>
      <c r="D30" s="546"/>
      <c r="E30" s="546"/>
      <c r="F30" s="546"/>
      <c r="G30" s="595"/>
    </row>
    <row r="31" spans="1:10" x14ac:dyDescent="0.2">
      <c r="A31" s="267" t="s">
        <v>398</v>
      </c>
      <c r="B31" s="540" t="str">
        <f t="shared" ref="B31:B41" si="2">B14</f>
        <v>Engenheiro(a) Eletricista de Manutenção</v>
      </c>
      <c r="C31" s="541"/>
      <c r="D31" s="541"/>
      <c r="E31" s="541"/>
      <c r="F31" s="542"/>
      <c r="G31" s="269">
        <f t="shared" ref="G31:G42" si="3">G14</f>
        <v>14203.320989502696</v>
      </c>
      <c r="I31" s="146"/>
      <c r="J31" s="146"/>
    </row>
    <row r="32" spans="1:10" x14ac:dyDescent="0.2">
      <c r="A32" s="267" t="s">
        <v>399</v>
      </c>
      <c r="B32" s="540" t="str">
        <f t="shared" si="2"/>
        <v xml:space="preserve"> Encarregado(a) Geral de Manutenção </v>
      </c>
      <c r="C32" s="541"/>
      <c r="D32" s="541"/>
      <c r="E32" s="541"/>
      <c r="F32" s="542"/>
      <c r="G32" s="269">
        <f t="shared" si="3"/>
        <v>6192.0694634539686</v>
      </c>
      <c r="I32" s="146"/>
      <c r="J32" s="146"/>
    </row>
    <row r="33" spans="1:10" x14ac:dyDescent="0.2">
      <c r="A33" s="267" t="s">
        <v>400</v>
      </c>
      <c r="B33" s="540" t="str">
        <f t="shared" si="2"/>
        <v xml:space="preserve"> Técnico(a) Eletrônico em Geral</v>
      </c>
      <c r="C33" s="541"/>
      <c r="D33" s="541"/>
      <c r="E33" s="541"/>
      <c r="F33" s="542"/>
      <c r="G33" s="269">
        <f t="shared" si="3"/>
        <v>8706.5623630267164</v>
      </c>
      <c r="I33" s="146"/>
      <c r="J33" s="146"/>
    </row>
    <row r="34" spans="1:10" x14ac:dyDescent="0.2">
      <c r="A34" s="267" t="s">
        <v>409</v>
      </c>
      <c r="B34" s="540" t="str">
        <f t="shared" si="2"/>
        <v xml:space="preserve"> Técnico(a) Eletromecânico de Grupo Gerador</v>
      </c>
      <c r="C34" s="541"/>
      <c r="D34" s="541"/>
      <c r="E34" s="541"/>
      <c r="F34" s="542"/>
      <c r="G34" s="269">
        <f t="shared" si="3"/>
        <v>1380.7672426005599</v>
      </c>
      <c r="I34" s="146"/>
      <c r="J34" s="146"/>
    </row>
    <row r="35" spans="1:10" x14ac:dyDescent="0.2">
      <c r="A35" s="267" t="s">
        <v>410</v>
      </c>
      <c r="B35" s="540" t="str">
        <f t="shared" si="2"/>
        <v xml:space="preserve"> Eletricista de Manutenção Predial</v>
      </c>
      <c r="C35" s="541"/>
      <c r="D35" s="541"/>
      <c r="E35" s="541"/>
      <c r="F35" s="542"/>
      <c r="G35" s="269">
        <f t="shared" si="3"/>
        <v>14937.834287326348</v>
      </c>
      <c r="I35" s="146"/>
      <c r="J35" s="146"/>
    </row>
    <row r="36" spans="1:10" x14ac:dyDescent="0.2">
      <c r="A36" s="267" t="s">
        <v>411</v>
      </c>
      <c r="B36" s="540" t="str">
        <f t="shared" si="2"/>
        <v xml:space="preserve"> Bombeiro Hidráulico de Manutenção </v>
      </c>
      <c r="C36" s="541"/>
      <c r="D36" s="541"/>
      <c r="E36" s="541"/>
      <c r="F36" s="542"/>
      <c r="G36" s="269">
        <f t="shared" si="3"/>
        <v>4785.1794942430624</v>
      </c>
      <c r="I36" s="146"/>
      <c r="J36" s="146"/>
    </row>
    <row r="37" spans="1:10" x14ac:dyDescent="0.2">
      <c r="A37" s="267" t="s">
        <v>412</v>
      </c>
      <c r="B37" s="540" t="str">
        <f t="shared" si="2"/>
        <v xml:space="preserve">Artífice/Marceneiro de Manutenção </v>
      </c>
      <c r="C37" s="541"/>
      <c r="D37" s="541"/>
      <c r="E37" s="541"/>
      <c r="F37" s="542"/>
      <c r="G37" s="269">
        <f t="shared" si="3"/>
        <v>8197.0133356727838</v>
      </c>
      <c r="I37" s="146"/>
      <c r="J37" s="146"/>
    </row>
    <row r="38" spans="1:10" x14ac:dyDescent="0.2">
      <c r="A38" s="267" t="s">
        <v>413</v>
      </c>
      <c r="B38" s="540" t="str">
        <f t="shared" si="2"/>
        <v xml:space="preserve">Eletricista Plantonista Diurno </v>
      </c>
      <c r="C38" s="541"/>
      <c r="D38" s="541"/>
      <c r="E38" s="541"/>
      <c r="F38" s="542"/>
      <c r="G38" s="269">
        <f t="shared" si="3"/>
        <v>9308.3072961919679</v>
      </c>
      <c r="I38" s="146"/>
      <c r="J38" s="146"/>
    </row>
    <row r="39" spans="1:10" x14ac:dyDescent="0.2">
      <c r="A39" s="267" t="s">
        <v>414</v>
      </c>
      <c r="B39" s="540" t="str">
        <f t="shared" si="2"/>
        <v>Eletricista Plantonista Noturno</v>
      </c>
      <c r="C39" s="541"/>
      <c r="D39" s="541"/>
      <c r="E39" s="541"/>
      <c r="F39" s="542"/>
      <c r="G39" s="269">
        <f t="shared" si="3"/>
        <v>10155.349181947449</v>
      </c>
      <c r="I39" s="146"/>
      <c r="J39" s="146"/>
    </row>
    <row r="40" spans="1:10" x14ac:dyDescent="0.2">
      <c r="A40" s="267" t="s">
        <v>415</v>
      </c>
      <c r="B40" s="540" t="str">
        <f t="shared" si="2"/>
        <v xml:space="preserve"> Ajudante de Manutenção</v>
      </c>
      <c r="C40" s="541"/>
      <c r="D40" s="541"/>
      <c r="E40" s="541"/>
      <c r="F40" s="542"/>
      <c r="G40" s="269">
        <f t="shared" si="3"/>
        <v>12758.893330542485</v>
      </c>
      <c r="I40" s="146"/>
      <c r="J40" s="146"/>
    </row>
    <row r="41" spans="1:10" x14ac:dyDescent="0.2">
      <c r="A41" s="267" t="s">
        <v>416</v>
      </c>
      <c r="B41" s="540" t="str">
        <f t="shared" si="2"/>
        <v xml:space="preserve"> Técnico(a) Administrativo</v>
      </c>
      <c r="C41" s="541"/>
      <c r="D41" s="541"/>
      <c r="E41" s="541"/>
      <c r="F41" s="542"/>
      <c r="G41" s="269">
        <f t="shared" si="3"/>
        <v>3253.6852038062593</v>
      </c>
      <c r="I41" s="146"/>
      <c r="J41" s="146"/>
    </row>
    <row r="42" spans="1:10" x14ac:dyDescent="0.2">
      <c r="A42" s="278" t="s">
        <v>318</v>
      </c>
      <c r="B42" s="546" t="s">
        <v>401</v>
      </c>
      <c r="C42" s="546"/>
      <c r="D42" s="546"/>
      <c r="E42" s="546"/>
      <c r="F42" s="546"/>
      <c r="G42" s="279">
        <f t="shared" si="3"/>
        <v>93878.982188314287</v>
      </c>
    </row>
    <row r="43" spans="1:10" x14ac:dyDescent="0.2">
      <c r="A43" s="278" t="s">
        <v>321</v>
      </c>
      <c r="B43" s="572" t="s">
        <v>874</v>
      </c>
      <c r="C43" s="573"/>
      <c r="D43" s="573"/>
      <c r="E43" s="573"/>
      <c r="F43" s="574"/>
      <c r="G43" s="279">
        <f>12*G42</f>
        <v>1126547.7862597713</v>
      </c>
      <c r="I43" s="146"/>
      <c r="J43" s="146"/>
    </row>
    <row r="44" spans="1:10" x14ac:dyDescent="0.2">
      <c r="A44" s="592" t="s">
        <v>1157</v>
      </c>
      <c r="B44" s="593"/>
      <c r="C44" s="593"/>
      <c r="D44" s="593"/>
      <c r="E44" s="593"/>
      <c r="F44" s="593"/>
      <c r="G44" s="593"/>
    </row>
    <row r="45" spans="1:10" ht="9.75" customHeight="1" thickBot="1" x14ac:dyDescent="0.25">
      <c r="A45" s="531"/>
      <c r="B45" s="531"/>
      <c r="C45" s="531"/>
      <c r="D45" s="531"/>
      <c r="E45" s="531"/>
      <c r="F45" s="531"/>
      <c r="G45" s="531"/>
    </row>
    <row r="46" spans="1:10" ht="12.75" customHeight="1" thickBot="1" x14ac:dyDescent="0.25">
      <c r="A46" s="537" t="s">
        <v>417</v>
      </c>
      <c r="B46" s="538"/>
      <c r="C46" s="538"/>
      <c r="D46" s="538"/>
      <c r="E46" s="538"/>
      <c r="F46" s="538"/>
      <c r="G46" s="539"/>
    </row>
    <row r="47" spans="1:10" ht="9.75" customHeight="1" thickBot="1" x14ac:dyDescent="0.25">
      <c r="A47" s="532"/>
      <c r="B47" s="532"/>
      <c r="C47" s="532"/>
      <c r="D47" s="532"/>
      <c r="E47" s="532"/>
      <c r="F47" s="532"/>
      <c r="G47" s="532"/>
    </row>
    <row r="48" spans="1:10" ht="15" customHeight="1" x14ac:dyDescent="0.2">
      <c r="A48" s="575" t="s">
        <v>152</v>
      </c>
      <c r="B48" s="576"/>
      <c r="C48" s="576"/>
      <c r="D48" s="576"/>
      <c r="E48" s="281" t="s">
        <v>496</v>
      </c>
      <c r="F48" s="576" t="s">
        <v>942</v>
      </c>
      <c r="G48" s="577"/>
    </row>
    <row r="49" spans="1:10" ht="15" customHeight="1" x14ac:dyDescent="0.2">
      <c r="A49" s="557" t="s">
        <v>418</v>
      </c>
      <c r="B49" s="558"/>
      <c r="C49" s="558"/>
      <c r="D49" s="558"/>
      <c r="E49" s="282">
        <f>G42</f>
        <v>93878.982188314287</v>
      </c>
      <c r="F49" s="559">
        <f>E49*12</f>
        <v>1126547.7862597713</v>
      </c>
      <c r="G49" s="560"/>
      <c r="I49" s="91" t="s">
        <v>944</v>
      </c>
      <c r="J49" s="145">
        <v>2.3199999999999998E-2</v>
      </c>
    </row>
    <row r="50" spans="1:10" ht="15" customHeight="1" x14ac:dyDescent="0.2">
      <c r="A50" s="557" t="s">
        <v>419</v>
      </c>
      <c r="B50" s="558"/>
      <c r="C50" s="558"/>
      <c r="D50" s="558"/>
      <c r="E50" s="282">
        <f>MAT.!F337</f>
        <v>13987.9915</v>
      </c>
      <c r="F50" s="559">
        <f>E50*12</f>
        <v>167855.89799999999</v>
      </c>
      <c r="G50" s="560"/>
      <c r="I50" s="91" t="s">
        <v>945</v>
      </c>
      <c r="J50" s="145">
        <v>2.3300000000000001E-2</v>
      </c>
    </row>
    <row r="51" spans="1:10" ht="18" customHeight="1" thickBot="1" x14ac:dyDescent="0.25">
      <c r="A51" s="561" t="s">
        <v>875</v>
      </c>
      <c r="B51" s="562"/>
      <c r="C51" s="562"/>
      <c r="D51" s="562"/>
      <c r="E51" s="496">
        <f>SUM(E49:E50)</f>
        <v>107866.97368831429</v>
      </c>
      <c r="F51" s="563">
        <f>E51*12</f>
        <v>1294403.6842597714</v>
      </c>
      <c r="G51" s="564"/>
    </row>
    <row r="53" spans="1:10" ht="13.5" thickBot="1" x14ac:dyDescent="0.25">
      <c r="I53" s="148">
        <v>1294466.4205882451</v>
      </c>
    </row>
    <row r="54" spans="1:10" ht="48" customHeight="1" x14ac:dyDescent="0.2">
      <c r="A54" s="547" t="s">
        <v>1162</v>
      </c>
      <c r="B54" s="548"/>
      <c r="C54" s="548"/>
      <c r="D54" s="548"/>
      <c r="E54" s="548"/>
      <c r="F54" s="548"/>
      <c r="G54" s="549"/>
      <c r="I54" s="148">
        <f>I53-F51</f>
        <v>62.736328473780304</v>
      </c>
    </row>
    <row r="55" spans="1:10" x14ac:dyDescent="0.2">
      <c r="A55" s="550" t="s">
        <v>495</v>
      </c>
      <c r="B55" s="551"/>
      <c r="C55" s="551"/>
      <c r="D55" s="551"/>
      <c r="E55" s="551"/>
      <c r="F55" s="551"/>
      <c r="G55" s="552"/>
    </row>
    <row r="56" spans="1:10" ht="56.25" x14ac:dyDescent="0.2">
      <c r="A56" s="553" t="s">
        <v>384</v>
      </c>
      <c r="B56" s="554"/>
      <c r="C56" s="485" t="s">
        <v>492</v>
      </c>
      <c r="D56" s="485" t="s">
        <v>385</v>
      </c>
      <c r="E56" s="485" t="s">
        <v>493</v>
      </c>
      <c r="F56" s="485" t="s">
        <v>386</v>
      </c>
      <c r="G56" s="486" t="s">
        <v>494</v>
      </c>
    </row>
    <row r="57" spans="1:10" x14ac:dyDescent="0.2">
      <c r="A57" s="555" t="s">
        <v>387</v>
      </c>
      <c r="B57" s="556"/>
      <c r="C57" s="483" t="s">
        <v>388</v>
      </c>
      <c r="D57" s="483" t="s">
        <v>389</v>
      </c>
      <c r="E57" s="483" t="s">
        <v>390</v>
      </c>
      <c r="F57" s="483" t="s">
        <v>391</v>
      </c>
      <c r="G57" s="487" t="s">
        <v>392</v>
      </c>
    </row>
    <row r="58" spans="1:10" x14ac:dyDescent="0.2">
      <c r="A58" s="488" t="s">
        <v>393</v>
      </c>
      <c r="B58" s="268" t="str">
        <f>'Eng. Eletric'!A16</f>
        <v>Engenheiro(a) Eletricista de Manutenção</v>
      </c>
      <c r="C58" s="269">
        <f>'Eng. Eletric'!I147</f>
        <v>14573.988643945859</v>
      </c>
      <c r="D58" s="270">
        <v>1</v>
      </c>
      <c r="E58" s="269">
        <f>C58*D58</f>
        <v>14573.988643945859</v>
      </c>
      <c r="F58" s="270">
        <v>1</v>
      </c>
      <c r="G58" s="489">
        <f>E58*F58</f>
        <v>14573.988643945859</v>
      </c>
    </row>
    <row r="59" spans="1:10" x14ac:dyDescent="0.2">
      <c r="A59" s="488" t="s">
        <v>394</v>
      </c>
      <c r="B59" s="268" t="str">
        <f>Encarreg!A16</f>
        <v xml:space="preserve"> Encarregado(a) Geral de Manutenção </v>
      </c>
      <c r="C59" s="269">
        <f>Encarreg!I147</f>
        <v>6413.4927234119832</v>
      </c>
      <c r="D59" s="270">
        <v>1</v>
      </c>
      <c r="E59" s="269">
        <f t="shared" ref="E59:E68" si="4">C59*D59</f>
        <v>6413.4927234119832</v>
      </c>
      <c r="F59" s="270">
        <v>1</v>
      </c>
      <c r="G59" s="489">
        <f>E59*F59</f>
        <v>6413.4927234119832</v>
      </c>
    </row>
    <row r="60" spans="1:10" x14ac:dyDescent="0.2">
      <c r="A60" s="488" t="s">
        <v>395</v>
      </c>
      <c r="B60" s="271" t="str">
        <f>'Tec. Eletron.'!A16</f>
        <v xml:space="preserve"> Técnico(a) Eletrônico em Geral</v>
      </c>
      <c r="C60" s="269">
        <f>'Tec. Eletron.'!I147</f>
        <v>4645.1016013982407</v>
      </c>
      <c r="D60" s="270">
        <v>1</v>
      </c>
      <c r="E60" s="269">
        <f t="shared" si="4"/>
        <v>4645.1016013982407</v>
      </c>
      <c r="F60" s="270">
        <v>2</v>
      </c>
      <c r="G60" s="489">
        <f t="shared" ref="G60:G68" si="5">E60*F60</f>
        <v>9290.2032027964815</v>
      </c>
    </row>
    <row r="61" spans="1:10" ht="14.25" customHeight="1" x14ac:dyDescent="0.2">
      <c r="A61" s="488" t="s">
        <v>402</v>
      </c>
      <c r="B61" s="272" t="str">
        <f>'Téc. Eletromec.'!A16</f>
        <v xml:space="preserve"> Técnico(a) Eletromecânico de Grupo Gerador</v>
      </c>
      <c r="C61" s="269">
        <f>'Téc. Eletromec.'!I147</f>
        <v>1481.9386849834768</v>
      </c>
      <c r="D61" s="270">
        <v>1</v>
      </c>
      <c r="E61" s="269">
        <f t="shared" si="4"/>
        <v>1481.9386849834768</v>
      </c>
      <c r="F61" s="270">
        <v>1</v>
      </c>
      <c r="G61" s="489">
        <f t="shared" si="5"/>
        <v>1481.9386849834768</v>
      </c>
    </row>
    <row r="62" spans="1:10" x14ac:dyDescent="0.2">
      <c r="A62" s="488" t="s">
        <v>403</v>
      </c>
      <c r="B62" s="272" t="str">
        <f>Eletricista!A16</f>
        <v xml:space="preserve"> Eletricista de Manutenção Predial</v>
      </c>
      <c r="C62" s="269">
        <f>Eletricista!I147</f>
        <v>5157.6553850677001</v>
      </c>
      <c r="D62" s="270">
        <v>1</v>
      </c>
      <c r="E62" s="269">
        <f t="shared" si="4"/>
        <v>5157.6553850677001</v>
      </c>
      <c r="F62" s="270">
        <v>3</v>
      </c>
      <c r="G62" s="489">
        <f t="shared" si="5"/>
        <v>15472.966155203099</v>
      </c>
    </row>
    <row r="63" spans="1:10" x14ac:dyDescent="0.2">
      <c r="A63" s="488" t="s">
        <v>404</v>
      </c>
      <c r="B63" s="272" t="str">
        <f>Bombeiro!A16</f>
        <v xml:space="preserve"> Bombeiro Hidráulico de Manutenção </v>
      </c>
      <c r="C63" s="269">
        <f>Bombeiro!I147</f>
        <v>4931.0008303629638</v>
      </c>
      <c r="D63" s="270">
        <v>1</v>
      </c>
      <c r="E63" s="269">
        <f t="shared" si="4"/>
        <v>4931.0008303629638</v>
      </c>
      <c r="F63" s="270">
        <v>1</v>
      </c>
      <c r="G63" s="489">
        <f t="shared" si="5"/>
        <v>4931.0008303629638</v>
      </c>
    </row>
    <row r="64" spans="1:10" x14ac:dyDescent="0.2">
      <c r="A64" s="488" t="s">
        <v>405</v>
      </c>
      <c r="B64" s="272" t="str">
        <f>'Art. Manut'!A16</f>
        <v xml:space="preserve">Artífice/Marceneiro de Manutenção </v>
      </c>
      <c r="C64" s="269">
        <f>'Art. Manut'!I147</f>
        <v>4244.5023611813958</v>
      </c>
      <c r="D64" s="270">
        <v>1</v>
      </c>
      <c r="E64" s="269">
        <f t="shared" si="4"/>
        <v>4244.5023611813958</v>
      </c>
      <c r="F64" s="270">
        <v>2</v>
      </c>
      <c r="G64" s="489">
        <f t="shared" si="5"/>
        <v>8489.0047223627917</v>
      </c>
    </row>
    <row r="65" spans="1:7" x14ac:dyDescent="0.2">
      <c r="A65" s="488" t="s">
        <v>543</v>
      </c>
      <c r="B65" s="272" t="str">
        <f>'Elet. Plant-D'!A16</f>
        <v xml:space="preserve">Eletricista Plantonista Diurno </v>
      </c>
      <c r="C65" s="269">
        <f>'Elet. Plant-D'!I147</f>
        <v>4824.140629061023</v>
      </c>
      <c r="D65" s="270">
        <v>1</v>
      </c>
      <c r="E65" s="269">
        <f t="shared" si="4"/>
        <v>4824.140629061023</v>
      </c>
      <c r="F65" s="270">
        <v>2</v>
      </c>
      <c r="G65" s="489">
        <f t="shared" si="5"/>
        <v>9648.281258122046</v>
      </c>
    </row>
    <row r="66" spans="1:7" x14ac:dyDescent="0.2">
      <c r="A66" s="490" t="s">
        <v>406</v>
      </c>
      <c r="B66" s="272" t="str">
        <f>'Elet. Plant-N'!A16</f>
        <v>Eletricista Plantonista Noturno</v>
      </c>
      <c r="C66" s="269">
        <f>'Elet. Plant-N'!I147</f>
        <v>5263.2323359445345</v>
      </c>
      <c r="D66" s="270">
        <v>1</v>
      </c>
      <c r="E66" s="269">
        <f t="shared" si="4"/>
        <v>5263.2323359445345</v>
      </c>
      <c r="F66" s="270">
        <v>2</v>
      </c>
      <c r="G66" s="489">
        <f t="shared" si="5"/>
        <v>10526.464671889069</v>
      </c>
    </row>
    <row r="67" spans="1:7" x14ac:dyDescent="0.2">
      <c r="A67" s="491" t="s">
        <v>407</v>
      </c>
      <c r="B67" s="275" t="str">
        <f>'Aj. Manut'!A16</f>
        <v xml:space="preserve"> Ajudante de Manutenção</v>
      </c>
      <c r="C67" s="269">
        <f>'Aj. Manut'!I147</f>
        <v>3302.2713297036898</v>
      </c>
      <c r="D67" s="270">
        <v>1</v>
      </c>
      <c r="E67" s="269">
        <f t="shared" si="4"/>
        <v>3302.2713297036898</v>
      </c>
      <c r="F67" s="270">
        <v>4</v>
      </c>
      <c r="G67" s="489">
        <f t="shared" si="5"/>
        <v>13209.085318814759</v>
      </c>
    </row>
    <row r="68" spans="1:7" x14ac:dyDescent="0.2">
      <c r="A68" s="491" t="s">
        <v>408</v>
      </c>
      <c r="B68" s="272" t="str">
        <f>'Téc. Adm'!A16</f>
        <v xml:space="preserve"> Técnico(a) Administrativo</v>
      </c>
      <c r="C68" s="269">
        <f>'Téc. Adm'!I147</f>
        <v>3368.5754376214818</v>
      </c>
      <c r="D68" s="270">
        <v>1</v>
      </c>
      <c r="E68" s="269">
        <f t="shared" si="4"/>
        <v>3368.5754376214818</v>
      </c>
      <c r="F68" s="270">
        <v>1</v>
      </c>
      <c r="G68" s="489">
        <f t="shared" si="5"/>
        <v>3368.5754376214818</v>
      </c>
    </row>
    <row r="69" spans="1:7" x14ac:dyDescent="0.2">
      <c r="A69" s="555" t="s">
        <v>941</v>
      </c>
      <c r="B69" s="582"/>
      <c r="C69" s="582"/>
      <c r="D69" s="582"/>
      <c r="E69" s="556"/>
      <c r="F69" s="276">
        <f>SUM(F58:F68)</f>
        <v>20</v>
      </c>
      <c r="G69" s="492">
        <f>SUM(G58:G68)</f>
        <v>97405.001649514015</v>
      </c>
    </row>
    <row r="70" spans="1:7" x14ac:dyDescent="0.2">
      <c r="A70" s="565"/>
      <c r="B70" s="566"/>
      <c r="C70" s="566"/>
      <c r="D70" s="566"/>
      <c r="E70" s="566"/>
      <c r="F70" s="566"/>
      <c r="G70" s="567"/>
    </row>
    <row r="71" spans="1:7" x14ac:dyDescent="0.2">
      <c r="A71" s="550" t="s">
        <v>396</v>
      </c>
      <c r="B71" s="551"/>
      <c r="C71" s="551"/>
      <c r="D71" s="551"/>
      <c r="E71" s="551"/>
      <c r="F71" s="551"/>
      <c r="G71" s="552"/>
    </row>
    <row r="72" spans="1:7" x14ac:dyDescent="0.2">
      <c r="A72" s="543" t="s">
        <v>397</v>
      </c>
      <c r="B72" s="544"/>
      <c r="C72" s="544"/>
      <c r="D72" s="544"/>
      <c r="E72" s="544"/>
      <c r="F72" s="544"/>
      <c r="G72" s="545"/>
    </row>
    <row r="73" spans="1:7" x14ac:dyDescent="0.2">
      <c r="A73" s="493"/>
      <c r="B73" s="568" t="s">
        <v>152</v>
      </c>
      <c r="C73" s="568"/>
      <c r="D73" s="568"/>
      <c r="E73" s="568"/>
      <c r="F73" s="568"/>
      <c r="G73" s="578" t="s">
        <v>331</v>
      </c>
    </row>
    <row r="74" spans="1:7" x14ac:dyDescent="0.2">
      <c r="A74" s="494" t="s">
        <v>316</v>
      </c>
      <c r="B74" s="546" t="s">
        <v>595</v>
      </c>
      <c r="C74" s="546"/>
      <c r="D74" s="546"/>
      <c r="E74" s="546"/>
      <c r="F74" s="546"/>
      <c r="G74" s="579"/>
    </row>
    <row r="75" spans="1:7" x14ac:dyDescent="0.2">
      <c r="A75" s="488" t="s">
        <v>398</v>
      </c>
      <c r="B75" s="540" t="str">
        <f t="shared" ref="B75:B85" si="6">B58</f>
        <v>Engenheiro(a) Eletricista de Manutenção</v>
      </c>
      <c r="C75" s="541"/>
      <c r="D75" s="541"/>
      <c r="E75" s="541"/>
      <c r="F75" s="542"/>
      <c r="G75" s="489">
        <f t="shared" ref="G75:G86" si="7">G58</f>
        <v>14573.988643945859</v>
      </c>
    </row>
    <row r="76" spans="1:7" x14ac:dyDescent="0.2">
      <c r="A76" s="488" t="s">
        <v>399</v>
      </c>
      <c r="B76" s="540" t="str">
        <f t="shared" si="6"/>
        <v xml:space="preserve"> Encarregado(a) Geral de Manutenção </v>
      </c>
      <c r="C76" s="541"/>
      <c r="D76" s="541"/>
      <c r="E76" s="541"/>
      <c r="F76" s="542"/>
      <c r="G76" s="489">
        <f t="shared" si="7"/>
        <v>6413.4927234119832</v>
      </c>
    </row>
    <row r="77" spans="1:7" x14ac:dyDescent="0.2">
      <c r="A77" s="488" t="s">
        <v>400</v>
      </c>
      <c r="B77" s="540" t="str">
        <f t="shared" si="6"/>
        <v xml:space="preserve"> Técnico(a) Eletrônico em Geral</v>
      </c>
      <c r="C77" s="541"/>
      <c r="D77" s="541"/>
      <c r="E77" s="541"/>
      <c r="F77" s="542"/>
      <c r="G77" s="489">
        <f t="shared" si="7"/>
        <v>9290.2032027964815</v>
      </c>
    </row>
    <row r="78" spans="1:7" x14ac:dyDescent="0.2">
      <c r="A78" s="488" t="s">
        <v>409</v>
      </c>
      <c r="B78" s="540" t="str">
        <f t="shared" si="6"/>
        <v xml:space="preserve"> Técnico(a) Eletromecânico de Grupo Gerador</v>
      </c>
      <c r="C78" s="541"/>
      <c r="D78" s="541"/>
      <c r="E78" s="541"/>
      <c r="F78" s="542"/>
      <c r="G78" s="489">
        <f t="shared" si="7"/>
        <v>1481.9386849834768</v>
      </c>
    </row>
    <row r="79" spans="1:7" x14ac:dyDescent="0.2">
      <c r="A79" s="488" t="s">
        <v>410</v>
      </c>
      <c r="B79" s="540" t="str">
        <f t="shared" si="6"/>
        <v xml:space="preserve"> Eletricista de Manutenção Predial</v>
      </c>
      <c r="C79" s="541"/>
      <c r="D79" s="541"/>
      <c r="E79" s="541"/>
      <c r="F79" s="542"/>
      <c r="G79" s="489">
        <f t="shared" si="7"/>
        <v>15472.966155203099</v>
      </c>
    </row>
    <row r="80" spans="1:7" x14ac:dyDescent="0.2">
      <c r="A80" s="488" t="s">
        <v>411</v>
      </c>
      <c r="B80" s="540" t="str">
        <f t="shared" si="6"/>
        <v xml:space="preserve"> Bombeiro Hidráulico de Manutenção </v>
      </c>
      <c r="C80" s="541"/>
      <c r="D80" s="541"/>
      <c r="E80" s="541"/>
      <c r="F80" s="542"/>
      <c r="G80" s="489">
        <f t="shared" si="7"/>
        <v>4931.0008303629638</v>
      </c>
    </row>
    <row r="81" spans="1:7" x14ac:dyDescent="0.2">
      <c r="A81" s="488" t="s">
        <v>412</v>
      </c>
      <c r="B81" s="540" t="str">
        <f t="shared" si="6"/>
        <v xml:space="preserve">Artífice/Marceneiro de Manutenção </v>
      </c>
      <c r="C81" s="541"/>
      <c r="D81" s="541"/>
      <c r="E81" s="541"/>
      <c r="F81" s="542"/>
      <c r="G81" s="489">
        <f t="shared" si="7"/>
        <v>8489.0047223627917</v>
      </c>
    </row>
    <row r="82" spans="1:7" x14ac:dyDescent="0.2">
      <c r="A82" s="488" t="s">
        <v>413</v>
      </c>
      <c r="B82" s="540" t="str">
        <f t="shared" si="6"/>
        <v xml:space="preserve">Eletricista Plantonista Diurno </v>
      </c>
      <c r="C82" s="541"/>
      <c r="D82" s="541"/>
      <c r="E82" s="541"/>
      <c r="F82" s="542"/>
      <c r="G82" s="489">
        <f t="shared" si="7"/>
        <v>9648.281258122046</v>
      </c>
    </row>
    <row r="83" spans="1:7" x14ac:dyDescent="0.2">
      <c r="A83" s="488" t="s">
        <v>414</v>
      </c>
      <c r="B83" s="540" t="str">
        <f t="shared" si="6"/>
        <v>Eletricista Plantonista Noturno</v>
      </c>
      <c r="C83" s="541"/>
      <c r="D83" s="541"/>
      <c r="E83" s="541"/>
      <c r="F83" s="542"/>
      <c r="G83" s="489">
        <f t="shared" si="7"/>
        <v>10526.464671889069</v>
      </c>
    </row>
    <row r="84" spans="1:7" x14ac:dyDescent="0.2">
      <c r="A84" s="488" t="s">
        <v>415</v>
      </c>
      <c r="B84" s="540" t="str">
        <f t="shared" si="6"/>
        <v xml:space="preserve"> Ajudante de Manutenção</v>
      </c>
      <c r="C84" s="541"/>
      <c r="D84" s="541"/>
      <c r="E84" s="541"/>
      <c r="F84" s="542"/>
      <c r="G84" s="489">
        <f t="shared" si="7"/>
        <v>13209.085318814759</v>
      </c>
    </row>
    <row r="85" spans="1:7" x14ac:dyDescent="0.2">
      <c r="A85" s="488" t="s">
        <v>416</v>
      </c>
      <c r="B85" s="540" t="str">
        <f t="shared" si="6"/>
        <v xml:space="preserve"> Técnico(a) Administrativo</v>
      </c>
      <c r="C85" s="541"/>
      <c r="D85" s="541"/>
      <c r="E85" s="541"/>
      <c r="F85" s="542"/>
      <c r="G85" s="489">
        <f t="shared" si="7"/>
        <v>3368.5754376214818</v>
      </c>
    </row>
    <row r="86" spans="1:7" x14ac:dyDescent="0.2">
      <c r="A86" s="494" t="s">
        <v>318</v>
      </c>
      <c r="B86" s="546" t="s">
        <v>401</v>
      </c>
      <c r="C86" s="546"/>
      <c r="D86" s="546"/>
      <c r="E86" s="546"/>
      <c r="F86" s="546"/>
      <c r="G86" s="495">
        <f t="shared" si="7"/>
        <v>97405.001649514015</v>
      </c>
    </row>
    <row r="87" spans="1:7" x14ac:dyDescent="0.2">
      <c r="A87" s="494" t="s">
        <v>321</v>
      </c>
      <c r="B87" s="572" t="s">
        <v>874</v>
      </c>
      <c r="C87" s="573"/>
      <c r="D87" s="573"/>
      <c r="E87" s="573"/>
      <c r="F87" s="574"/>
      <c r="G87" s="495">
        <f>12*G86</f>
        <v>1168860.0197941682</v>
      </c>
    </row>
    <row r="88" spans="1:7" x14ac:dyDescent="0.2">
      <c r="A88" s="569" t="s">
        <v>1157</v>
      </c>
      <c r="B88" s="570"/>
      <c r="C88" s="570"/>
      <c r="D88" s="570"/>
      <c r="E88" s="570"/>
      <c r="F88" s="570"/>
      <c r="G88" s="571"/>
    </row>
    <row r="89" spans="1:7" ht="13.5" thickBot="1" x14ac:dyDescent="0.25">
      <c r="A89" s="533"/>
      <c r="B89" s="531"/>
      <c r="C89" s="531"/>
      <c r="D89" s="531"/>
      <c r="E89" s="531"/>
      <c r="F89" s="531"/>
      <c r="G89" s="534"/>
    </row>
    <row r="90" spans="1:7" ht="13.5" thickBot="1" x14ac:dyDescent="0.25">
      <c r="A90" s="537" t="s">
        <v>417</v>
      </c>
      <c r="B90" s="538"/>
      <c r="C90" s="538"/>
      <c r="D90" s="538"/>
      <c r="E90" s="538"/>
      <c r="F90" s="538"/>
      <c r="G90" s="539"/>
    </row>
    <row r="91" spans="1:7" ht="13.5" thickBot="1" x14ac:dyDescent="0.25">
      <c r="A91" s="535"/>
      <c r="B91" s="532"/>
      <c r="C91" s="532"/>
      <c r="D91" s="532"/>
      <c r="E91" s="532"/>
      <c r="F91" s="532"/>
      <c r="G91" s="536"/>
    </row>
    <row r="92" spans="1:7" x14ac:dyDescent="0.2">
      <c r="A92" s="575" t="s">
        <v>152</v>
      </c>
      <c r="B92" s="576"/>
      <c r="C92" s="576"/>
      <c r="D92" s="576"/>
      <c r="E92" s="484" t="s">
        <v>496</v>
      </c>
      <c r="F92" s="576" t="s">
        <v>942</v>
      </c>
      <c r="G92" s="577"/>
    </row>
    <row r="93" spans="1:7" x14ac:dyDescent="0.2">
      <c r="A93" s="557" t="s">
        <v>418</v>
      </c>
      <c r="B93" s="558"/>
      <c r="C93" s="558"/>
      <c r="D93" s="558"/>
      <c r="E93" s="282">
        <f>G86</f>
        <v>97405.001649514015</v>
      </c>
      <c r="F93" s="559">
        <f>E93*12</f>
        <v>1168860.0197941682</v>
      </c>
      <c r="G93" s="560"/>
    </row>
    <row r="94" spans="1:7" x14ac:dyDescent="0.2">
      <c r="A94" s="557" t="s">
        <v>419</v>
      </c>
      <c r="B94" s="558"/>
      <c r="C94" s="558"/>
      <c r="D94" s="558"/>
      <c r="E94" s="282">
        <f>MAT.!F337</f>
        <v>13987.9915</v>
      </c>
      <c r="F94" s="559">
        <f>E94*12</f>
        <v>167855.89799999999</v>
      </c>
      <c r="G94" s="560"/>
    </row>
    <row r="95" spans="1:7" ht="21" customHeight="1" thickBot="1" x14ac:dyDescent="0.25">
      <c r="A95" s="561" t="s">
        <v>875</v>
      </c>
      <c r="B95" s="562"/>
      <c r="C95" s="562"/>
      <c r="D95" s="562"/>
      <c r="E95" s="496">
        <f>SUM(E93:E94)</f>
        <v>111392.99314951402</v>
      </c>
      <c r="F95" s="563">
        <f>E95*12</f>
        <v>1336715.9177941682</v>
      </c>
      <c r="G95" s="564"/>
    </row>
    <row r="96" spans="1:7" ht="13.5" thickBot="1" x14ac:dyDescent="0.25"/>
    <row r="97" spans="1:7" ht="28.5" customHeight="1" x14ac:dyDescent="0.2">
      <c r="A97" s="547" t="s">
        <v>1163</v>
      </c>
      <c r="B97" s="548"/>
      <c r="C97" s="548"/>
      <c r="D97" s="548"/>
      <c r="E97" s="548"/>
      <c r="F97" s="548"/>
      <c r="G97" s="549"/>
    </row>
    <row r="98" spans="1:7" x14ac:dyDescent="0.2">
      <c r="A98" s="550" t="s">
        <v>495</v>
      </c>
      <c r="B98" s="551"/>
      <c r="C98" s="551"/>
      <c r="D98" s="551"/>
      <c r="E98" s="551"/>
      <c r="F98" s="551"/>
      <c r="G98" s="552"/>
    </row>
    <row r="99" spans="1:7" ht="56.25" x14ac:dyDescent="0.2">
      <c r="A99" s="553" t="s">
        <v>384</v>
      </c>
      <c r="B99" s="554"/>
      <c r="C99" s="510" t="s">
        <v>492</v>
      </c>
      <c r="D99" s="510" t="s">
        <v>385</v>
      </c>
      <c r="E99" s="510" t="s">
        <v>493</v>
      </c>
      <c r="F99" s="510" t="s">
        <v>386</v>
      </c>
      <c r="G99" s="486" t="s">
        <v>494</v>
      </c>
    </row>
    <row r="100" spans="1:7" x14ac:dyDescent="0.2">
      <c r="A100" s="555" t="s">
        <v>387</v>
      </c>
      <c r="B100" s="556"/>
      <c r="C100" s="509" t="s">
        <v>388</v>
      </c>
      <c r="D100" s="509" t="s">
        <v>389</v>
      </c>
      <c r="E100" s="509" t="s">
        <v>390</v>
      </c>
      <c r="F100" s="509" t="s">
        <v>391</v>
      </c>
      <c r="G100" s="511" t="s">
        <v>392</v>
      </c>
    </row>
    <row r="101" spans="1:7" x14ac:dyDescent="0.2">
      <c r="A101" s="488" t="s">
        <v>393</v>
      </c>
      <c r="B101" s="268" t="str">
        <f>'Eng. Eletric'!A16</f>
        <v>Engenheiro(a) Eletricista de Manutenção</v>
      </c>
      <c r="C101" s="269">
        <f>'Eng. Eletric'!K147</f>
        <v>15279.290731386467</v>
      </c>
      <c r="D101" s="270">
        <v>1</v>
      </c>
      <c r="E101" s="269">
        <f>C101*D101</f>
        <v>15279.290731386467</v>
      </c>
      <c r="F101" s="270">
        <v>1</v>
      </c>
      <c r="G101" s="489">
        <f>E101*F101</f>
        <v>15279.290731386467</v>
      </c>
    </row>
    <row r="102" spans="1:7" x14ac:dyDescent="0.2">
      <c r="A102" s="488" t="s">
        <v>394</v>
      </c>
      <c r="B102" s="268" t="str">
        <f>Encarreg!A16</f>
        <v xml:space="preserve"> Encarregado(a) Geral de Manutenção </v>
      </c>
      <c r="C102" s="269">
        <f>Encarreg!I147</f>
        <v>6413.4927234119832</v>
      </c>
      <c r="D102" s="270">
        <v>1</v>
      </c>
      <c r="E102" s="269">
        <f t="shared" ref="E102:E111" si="8">C102*D102</f>
        <v>6413.4927234119832</v>
      </c>
      <c r="F102" s="270">
        <v>1</v>
      </c>
      <c r="G102" s="489">
        <f>E102*F102</f>
        <v>6413.4927234119832</v>
      </c>
    </row>
    <row r="103" spans="1:7" x14ac:dyDescent="0.2">
      <c r="A103" s="488" t="s">
        <v>395</v>
      </c>
      <c r="B103" s="271" t="str">
        <f>'Tec. Eletron.'!A16</f>
        <v xml:space="preserve"> Técnico(a) Eletrônico em Geral</v>
      </c>
      <c r="C103" s="269">
        <f>'Tec. Eletron.'!I147</f>
        <v>4645.1016013982407</v>
      </c>
      <c r="D103" s="270">
        <v>1</v>
      </c>
      <c r="E103" s="269">
        <f t="shared" si="8"/>
        <v>4645.1016013982407</v>
      </c>
      <c r="F103" s="270">
        <v>2</v>
      </c>
      <c r="G103" s="489">
        <f t="shared" ref="G103:G111" si="9">E103*F103</f>
        <v>9290.2032027964815</v>
      </c>
    </row>
    <row r="104" spans="1:7" ht="15.75" customHeight="1" x14ac:dyDescent="0.2">
      <c r="A104" s="488" t="s">
        <v>402</v>
      </c>
      <c r="B104" s="272" t="str">
        <f>'Téc. Eletromec.'!A16</f>
        <v xml:space="preserve"> Técnico(a) Eletromecânico de Grupo Gerador</v>
      </c>
      <c r="C104" s="269">
        <f>'Téc. Eletromec.'!I147</f>
        <v>1481.9386849834768</v>
      </c>
      <c r="D104" s="270">
        <v>1</v>
      </c>
      <c r="E104" s="269">
        <f t="shared" si="8"/>
        <v>1481.9386849834768</v>
      </c>
      <c r="F104" s="270">
        <v>1</v>
      </c>
      <c r="G104" s="489">
        <f t="shared" si="9"/>
        <v>1481.9386849834768</v>
      </c>
    </row>
    <row r="105" spans="1:7" x14ac:dyDescent="0.2">
      <c r="A105" s="488" t="s">
        <v>403</v>
      </c>
      <c r="B105" s="272" t="str">
        <f>Eletricista!A16</f>
        <v xml:space="preserve"> Eletricista de Manutenção Predial</v>
      </c>
      <c r="C105" s="269">
        <f>Eletricista!I147</f>
        <v>5157.6553850677001</v>
      </c>
      <c r="D105" s="270">
        <v>1</v>
      </c>
      <c r="E105" s="269">
        <f t="shared" si="8"/>
        <v>5157.6553850677001</v>
      </c>
      <c r="F105" s="270">
        <v>3</v>
      </c>
      <c r="G105" s="489">
        <f t="shared" si="9"/>
        <v>15472.966155203099</v>
      </c>
    </row>
    <row r="106" spans="1:7" x14ac:dyDescent="0.2">
      <c r="A106" s="488" t="s">
        <v>404</v>
      </c>
      <c r="B106" s="272" t="str">
        <f>Bombeiro!A16</f>
        <v xml:space="preserve"> Bombeiro Hidráulico de Manutenção </v>
      </c>
      <c r="C106" s="269">
        <f>Bombeiro!I147</f>
        <v>4931.0008303629638</v>
      </c>
      <c r="D106" s="270">
        <v>1</v>
      </c>
      <c r="E106" s="269">
        <f t="shared" si="8"/>
        <v>4931.0008303629638</v>
      </c>
      <c r="F106" s="270">
        <v>1</v>
      </c>
      <c r="G106" s="489">
        <f t="shared" si="9"/>
        <v>4931.0008303629638</v>
      </c>
    </row>
    <row r="107" spans="1:7" x14ac:dyDescent="0.2">
      <c r="A107" s="488" t="s">
        <v>405</v>
      </c>
      <c r="B107" s="272" t="str">
        <f>'Art. Manut'!A16</f>
        <v xml:space="preserve">Artífice/Marceneiro de Manutenção </v>
      </c>
      <c r="C107" s="269">
        <f>'Art. Manut'!I147</f>
        <v>4244.5023611813958</v>
      </c>
      <c r="D107" s="270">
        <v>1</v>
      </c>
      <c r="E107" s="269">
        <f t="shared" si="8"/>
        <v>4244.5023611813958</v>
      </c>
      <c r="F107" s="270">
        <v>2</v>
      </c>
      <c r="G107" s="489">
        <f t="shared" si="9"/>
        <v>8489.0047223627917</v>
      </c>
    </row>
    <row r="108" spans="1:7" x14ac:dyDescent="0.2">
      <c r="A108" s="488" t="s">
        <v>543</v>
      </c>
      <c r="B108" s="272" t="str">
        <f>'Elet. Plant-D'!A16</f>
        <v xml:space="preserve">Eletricista Plantonista Diurno </v>
      </c>
      <c r="C108" s="269">
        <f>'Elet. Plant-D'!I147</f>
        <v>4824.140629061023</v>
      </c>
      <c r="D108" s="270">
        <v>1</v>
      </c>
      <c r="E108" s="269">
        <f t="shared" si="8"/>
        <v>4824.140629061023</v>
      </c>
      <c r="F108" s="270">
        <v>2</v>
      </c>
      <c r="G108" s="489">
        <f t="shared" si="9"/>
        <v>9648.281258122046</v>
      </c>
    </row>
    <row r="109" spans="1:7" x14ac:dyDescent="0.2">
      <c r="A109" s="490" t="s">
        <v>406</v>
      </c>
      <c r="B109" s="272" t="str">
        <f>'Elet. Plant-N'!A16</f>
        <v>Eletricista Plantonista Noturno</v>
      </c>
      <c r="C109" s="269">
        <f>'Elet. Plant-N'!I147</f>
        <v>5263.2323359445345</v>
      </c>
      <c r="D109" s="270">
        <v>1</v>
      </c>
      <c r="E109" s="269">
        <f t="shared" si="8"/>
        <v>5263.2323359445345</v>
      </c>
      <c r="F109" s="270">
        <v>2</v>
      </c>
      <c r="G109" s="489">
        <f t="shared" si="9"/>
        <v>10526.464671889069</v>
      </c>
    </row>
    <row r="110" spans="1:7" x14ac:dyDescent="0.2">
      <c r="A110" s="491" t="s">
        <v>407</v>
      </c>
      <c r="B110" s="275" t="str">
        <f>'Aj. Manut'!A16</f>
        <v xml:space="preserve"> Ajudante de Manutenção</v>
      </c>
      <c r="C110" s="269">
        <f>'Aj. Manut'!I147</f>
        <v>3302.2713297036898</v>
      </c>
      <c r="D110" s="270">
        <v>1</v>
      </c>
      <c r="E110" s="269">
        <f t="shared" si="8"/>
        <v>3302.2713297036898</v>
      </c>
      <c r="F110" s="270">
        <v>4</v>
      </c>
      <c r="G110" s="489">
        <f t="shared" si="9"/>
        <v>13209.085318814759</v>
      </c>
    </row>
    <row r="111" spans="1:7" x14ac:dyDescent="0.2">
      <c r="A111" s="491" t="s">
        <v>408</v>
      </c>
      <c r="B111" s="272" t="str">
        <f>'Téc. Adm'!A16</f>
        <v xml:space="preserve"> Técnico(a) Administrativo</v>
      </c>
      <c r="C111" s="269">
        <f>'Téc. Adm'!I147</f>
        <v>3368.5754376214818</v>
      </c>
      <c r="D111" s="270">
        <v>1</v>
      </c>
      <c r="E111" s="269">
        <f t="shared" si="8"/>
        <v>3368.5754376214818</v>
      </c>
      <c r="F111" s="270">
        <v>1</v>
      </c>
      <c r="G111" s="489">
        <f t="shared" si="9"/>
        <v>3368.5754376214818</v>
      </c>
    </row>
    <row r="112" spans="1:7" x14ac:dyDescent="0.2">
      <c r="A112" s="555" t="s">
        <v>941</v>
      </c>
      <c r="B112" s="582"/>
      <c r="C112" s="582"/>
      <c r="D112" s="582"/>
      <c r="E112" s="556"/>
      <c r="F112" s="276">
        <f>SUM(F101:F111)</f>
        <v>20</v>
      </c>
      <c r="G112" s="492">
        <f>SUM(G101:G111)</f>
        <v>98110.303736954622</v>
      </c>
    </row>
    <row r="113" spans="1:7" x14ac:dyDescent="0.2">
      <c r="A113" s="565"/>
      <c r="B113" s="566"/>
      <c r="C113" s="566"/>
      <c r="D113" s="566"/>
      <c r="E113" s="566"/>
      <c r="F113" s="566"/>
      <c r="G113" s="567"/>
    </row>
    <row r="114" spans="1:7" x14ac:dyDescent="0.2">
      <c r="A114" s="550" t="s">
        <v>396</v>
      </c>
      <c r="B114" s="551"/>
      <c r="C114" s="551"/>
      <c r="D114" s="551"/>
      <c r="E114" s="551"/>
      <c r="F114" s="551"/>
      <c r="G114" s="552"/>
    </row>
    <row r="115" spans="1:7" x14ac:dyDescent="0.2">
      <c r="A115" s="543" t="s">
        <v>397</v>
      </c>
      <c r="B115" s="544"/>
      <c r="C115" s="544"/>
      <c r="D115" s="544"/>
      <c r="E115" s="544"/>
      <c r="F115" s="544"/>
      <c r="G115" s="545"/>
    </row>
    <row r="116" spans="1:7" x14ac:dyDescent="0.2">
      <c r="A116" s="493"/>
      <c r="B116" s="568" t="s">
        <v>152</v>
      </c>
      <c r="C116" s="568"/>
      <c r="D116" s="568"/>
      <c r="E116" s="568"/>
      <c r="F116" s="568"/>
      <c r="G116" s="578" t="s">
        <v>331</v>
      </c>
    </row>
    <row r="117" spans="1:7" x14ac:dyDescent="0.2">
      <c r="A117" s="494" t="s">
        <v>316</v>
      </c>
      <c r="B117" s="546" t="s">
        <v>595</v>
      </c>
      <c r="C117" s="546"/>
      <c r="D117" s="546"/>
      <c r="E117" s="546"/>
      <c r="F117" s="546"/>
      <c r="G117" s="579"/>
    </row>
    <row r="118" spans="1:7" x14ac:dyDescent="0.2">
      <c r="A118" s="488" t="s">
        <v>398</v>
      </c>
      <c r="B118" s="540" t="str">
        <f t="shared" ref="B118:B128" si="10">B101</f>
        <v>Engenheiro(a) Eletricista de Manutenção</v>
      </c>
      <c r="C118" s="541"/>
      <c r="D118" s="541"/>
      <c r="E118" s="541"/>
      <c r="F118" s="542"/>
      <c r="G118" s="489">
        <f t="shared" ref="G118:G129" si="11">G101</f>
        <v>15279.290731386467</v>
      </c>
    </row>
    <row r="119" spans="1:7" x14ac:dyDescent="0.2">
      <c r="A119" s="488" t="s">
        <v>399</v>
      </c>
      <c r="B119" s="540" t="str">
        <f t="shared" si="10"/>
        <v xml:space="preserve"> Encarregado(a) Geral de Manutenção </v>
      </c>
      <c r="C119" s="541"/>
      <c r="D119" s="541"/>
      <c r="E119" s="541"/>
      <c r="F119" s="542"/>
      <c r="G119" s="489">
        <f t="shared" si="11"/>
        <v>6413.4927234119832</v>
      </c>
    </row>
    <row r="120" spans="1:7" x14ac:dyDescent="0.2">
      <c r="A120" s="488" t="s">
        <v>400</v>
      </c>
      <c r="B120" s="540" t="str">
        <f t="shared" si="10"/>
        <v xml:space="preserve"> Técnico(a) Eletrônico em Geral</v>
      </c>
      <c r="C120" s="541"/>
      <c r="D120" s="541"/>
      <c r="E120" s="541"/>
      <c r="F120" s="542"/>
      <c r="G120" s="489">
        <f t="shared" si="11"/>
        <v>9290.2032027964815</v>
      </c>
    </row>
    <row r="121" spans="1:7" x14ac:dyDescent="0.2">
      <c r="A121" s="488" t="s">
        <v>409</v>
      </c>
      <c r="B121" s="540" t="str">
        <f t="shared" si="10"/>
        <v xml:space="preserve"> Técnico(a) Eletromecânico de Grupo Gerador</v>
      </c>
      <c r="C121" s="541"/>
      <c r="D121" s="541"/>
      <c r="E121" s="541"/>
      <c r="F121" s="542"/>
      <c r="G121" s="489">
        <f t="shared" si="11"/>
        <v>1481.9386849834768</v>
      </c>
    </row>
    <row r="122" spans="1:7" x14ac:dyDescent="0.2">
      <c r="A122" s="488" t="s">
        <v>410</v>
      </c>
      <c r="B122" s="540" t="str">
        <f t="shared" si="10"/>
        <v xml:space="preserve"> Eletricista de Manutenção Predial</v>
      </c>
      <c r="C122" s="541"/>
      <c r="D122" s="541"/>
      <c r="E122" s="541"/>
      <c r="F122" s="542"/>
      <c r="G122" s="489">
        <f t="shared" si="11"/>
        <v>15472.966155203099</v>
      </c>
    </row>
    <row r="123" spans="1:7" x14ac:dyDescent="0.2">
      <c r="A123" s="488" t="s">
        <v>411</v>
      </c>
      <c r="B123" s="540" t="str">
        <f t="shared" si="10"/>
        <v xml:space="preserve"> Bombeiro Hidráulico de Manutenção </v>
      </c>
      <c r="C123" s="541"/>
      <c r="D123" s="541"/>
      <c r="E123" s="541"/>
      <c r="F123" s="542"/>
      <c r="G123" s="489">
        <f t="shared" si="11"/>
        <v>4931.0008303629638</v>
      </c>
    </row>
    <row r="124" spans="1:7" x14ac:dyDescent="0.2">
      <c r="A124" s="488" t="s">
        <v>412</v>
      </c>
      <c r="B124" s="540" t="str">
        <f t="shared" si="10"/>
        <v xml:space="preserve">Artífice/Marceneiro de Manutenção </v>
      </c>
      <c r="C124" s="541"/>
      <c r="D124" s="541"/>
      <c r="E124" s="541"/>
      <c r="F124" s="542"/>
      <c r="G124" s="489">
        <f t="shared" si="11"/>
        <v>8489.0047223627917</v>
      </c>
    </row>
    <row r="125" spans="1:7" x14ac:dyDescent="0.2">
      <c r="A125" s="488" t="s">
        <v>413</v>
      </c>
      <c r="B125" s="540" t="str">
        <f t="shared" si="10"/>
        <v xml:space="preserve">Eletricista Plantonista Diurno </v>
      </c>
      <c r="C125" s="541"/>
      <c r="D125" s="541"/>
      <c r="E125" s="541"/>
      <c r="F125" s="542"/>
      <c r="G125" s="489">
        <f t="shared" si="11"/>
        <v>9648.281258122046</v>
      </c>
    </row>
    <row r="126" spans="1:7" x14ac:dyDescent="0.2">
      <c r="A126" s="488" t="s">
        <v>414</v>
      </c>
      <c r="B126" s="540" t="str">
        <f t="shared" si="10"/>
        <v>Eletricista Plantonista Noturno</v>
      </c>
      <c r="C126" s="541"/>
      <c r="D126" s="541"/>
      <c r="E126" s="541"/>
      <c r="F126" s="542"/>
      <c r="G126" s="489">
        <f t="shared" si="11"/>
        <v>10526.464671889069</v>
      </c>
    </row>
    <row r="127" spans="1:7" x14ac:dyDescent="0.2">
      <c r="A127" s="488" t="s">
        <v>415</v>
      </c>
      <c r="B127" s="540" t="str">
        <f t="shared" si="10"/>
        <v xml:space="preserve"> Ajudante de Manutenção</v>
      </c>
      <c r="C127" s="541"/>
      <c r="D127" s="541"/>
      <c r="E127" s="541"/>
      <c r="F127" s="542"/>
      <c r="G127" s="489">
        <f t="shared" si="11"/>
        <v>13209.085318814759</v>
      </c>
    </row>
    <row r="128" spans="1:7" x14ac:dyDescent="0.2">
      <c r="A128" s="488" t="s">
        <v>416</v>
      </c>
      <c r="B128" s="540" t="str">
        <f t="shared" si="10"/>
        <v xml:space="preserve"> Técnico(a) Administrativo</v>
      </c>
      <c r="C128" s="541"/>
      <c r="D128" s="541"/>
      <c r="E128" s="541"/>
      <c r="F128" s="542"/>
      <c r="G128" s="489">
        <f t="shared" si="11"/>
        <v>3368.5754376214818</v>
      </c>
    </row>
    <row r="129" spans="1:7" x14ac:dyDescent="0.2">
      <c r="A129" s="494" t="s">
        <v>318</v>
      </c>
      <c r="B129" s="546" t="s">
        <v>401</v>
      </c>
      <c r="C129" s="546"/>
      <c r="D129" s="546"/>
      <c r="E129" s="546"/>
      <c r="F129" s="546"/>
      <c r="G129" s="495">
        <f t="shared" si="11"/>
        <v>98110.303736954622</v>
      </c>
    </row>
    <row r="130" spans="1:7" x14ac:dyDescent="0.2">
      <c r="A130" s="494" t="s">
        <v>321</v>
      </c>
      <c r="B130" s="572" t="s">
        <v>874</v>
      </c>
      <c r="C130" s="573"/>
      <c r="D130" s="573"/>
      <c r="E130" s="573"/>
      <c r="F130" s="574"/>
      <c r="G130" s="495">
        <f>12*G129</f>
        <v>1177323.6448434554</v>
      </c>
    </row>
    <row r="131" spans="1:7" x14ac:dyDescent="0.2">
      <c r="A131" s="569" t="s">
        <v>1157</v>
      </c>
      <c r="B131" s="570"/>
      <c r="C131" s="570"/>
      <c r="D131" s="570"/>
      <c r="E131" s="570"/>
      <c r="F131" s="570"/>
      <c r="G131" s="571"/>
    </row>
    <row r="132" spans="1:7" ht="13.5" thickBot="1" x14ac:dyDescent="0.25">
      <c r="A132" s="533"/>
      <c r="B132" s="531"/>
      <c r="C132" s="531"/>
      <c r="D132" s="531"/>
      <c r="E132" s="531"/>
      <c r="F132" s="531"/>
      <c r="G132" s="534"/>
    </row>
    <row r="133" spans="1:7" ht="13.5" thickBot="1" x14ac:dyDescent="0.25">
      <c r="A133" s="537" t="s">
        <v>417</v>
      </c>
      <c r="B133" s="538"/>
      <c r="C133" s="538"/>
      <c r="D133" s="538"/>
      <c r="E133" s="538"/>
      <c r="F133" s="538"/>
      <c r="G133" s="539"/>
    </row>
    <row r="134" spans="1:7" ht="13.5" thickBot="1" x14ac:dyDescent="0.25">
      <c r="A134" s="535"/>
      <c r="B134" s="532"/>
      <c r="C134" s="532"/>
      <c r="D134" s="532"/>
      <c r="E134" s="532"/>
      <c r="F134" s="532"/>
      <c r="G134" s="536"/>
    </row>
    <row r="135" spans="1:7" x14ac:dyDescent="0.2">
      <c r="A135" s="575" t="s">
        <v>152</v>
      </c>
      <c r="B135" s="576"/>
      <c r="C135" s="576"/>
      <c r="D135" s="576"/>
      <c r="E135" s="508" t="s">
        <v>496</v>
      </c>
      <c r="F135" s="576" t="s">
        <v>942</v>
      </c>
      <c r="G135" s="577"/>
    </row>
    <row r="136" spans="1:7" x14ac:dyDescent="0.2">
      <c r="A136" s="557" t="s">
        <v>418</v>
      </c>
      <c r="B136" s="558"/>
      <c r="C136" s="558"/>
      <c r="D136" s="558"/>
      <c r="E136" s="282">
        <f>G129</f>
        <v>98110.303736954622</v>
      </c>
      <c r="F136" s="559">
        <f>E136*12</f>
        <v>1177323.6448434554</v>
      </c>
      <c r="G136" s="560"/>
    </row>
    <row r="137" spans="1:7" x14ac:dyDescent="0.2">
      <c r="A137" s="557" t="s">
        <v>419</v>
      </c>
      <c r="B137" s="558"/>
      <c r="C137" s="558"/>
      <c r="D137" s="558"/>
      <c r="E137" s="282">
        <f>MAT.!F337</f>
        <v>13987.9915</v>
      </c>
      <c r="F137" s="559">
        <f>E137*12</f>
        <v>167855.89799999999</v>
      </c>
      <c r="G137" s="560"/>
    </row>
    <row r="138" spans="1:7" ht="15.75" thickBot="1" x14ac:dyDescent="0.25">
      <c r="A138" s="561" t="s">
        <v>875</v>
      </c>
      <c r="B138" s="562"/>
      <c r="C138" s="562"/>
      <c r="D138" s="562"/>
      <c r="E138" s="496">
        <f>SUM(E136:E137)</f>
        <v>112098.29523695463</v>
      </c>
      <c r="F138" s="563">
        <f>E138*12</f>
        <v>1345179.5428434554</v>
      </c>
      <c r="G138" s="564"/>
    </row>
  </sheetData>
  <mergeCells count="116">
    <mergeCell ref="A137:D137"/>
    <mergeCell ref="F137:G137"/>
    <mergeCell ref="A138:D138"/>
    <mergeCell ref="F138:G138"/>
    <mergeCell ref="A133:G133"/>
    <mergeCell ref="A134:G134"/>
    <mergeCell ref="A135:D135"/>
    <mergeCell ref="F135:G135"/>
    <mergeCell ref="A136:D136"/>
    <mergeCell ref="F136:G136"/>
    <mergeCell ref="B128:F128"/>
    <mergeCell ref="B129:F129"/>
    <mergeCell ref="B130:F130"/>
    <mergeCell ref="A131:G131"/>
    <mergeCell ref="A132:G132"/>
    <mergeCell ref="B123:F123"/>
    <mergeCell ref="B124:F124"/>
    <mergeCell ref="B125:F125"/>
    <mergeCell ref="B126:F126"/>
    <mergeCell ref="B127:F127"/>
    <mergeCell ref="B118:F118"/>
    <mergeCell ref="B119:F119"/>
    <mergeCell ref="B120:F120"/>
    <mergeCell ref="B121:F121"/>
    <mergeCell ref="B122:F122"/>
    <mergeCell ref="A112:E112"/>
    <mergeCell ref="A113:G113"/>
    <mergeCell ref="A114:G114"/>
    <mergeCell ref="A115:G115"/>
    <mergeCell ref="B116:F116"/>
    <mergeCell ref="G116:G117"/>
    <mergeCell ref="B117:F117"/>
    <mergeCell ref="A97:G97"/>
    <mergeCell ref="A98:G98"/>
    <mergeCell ref="A99:B99"/>
    <mergeCell ref="A100:B100"/>
    <mergeCell ref="A3:G3"/>
    <mergeCell ref="A4:G4"/>
    <mergeCell ref="A5:G5"/>
    <mergeCell ref="A6:G6"/>
    <mergeCell ref="A7:G7"/>
    <mergeCell ref="A8:G8"/>
    <mergeCell ref="A9:G9"/>
    <mergeCell ref="A10:G10"/>
    <mergeCell ref="A44:G44"/>
    <mergeCell ref="B42:F42"/>
    <mergeCell ref="G29:G30"/>
    <mergeCell ref="A26:G26"/>
    <mergeCell ref="B34:F34"/>
    <mergeCell ref="B35:F35"/>
    <mergeCell ref="B36:F36"/>
    <mergeCell ref="A13:B13"/>
    <mergeCell ref="A27:G27"/>
    <mergeCell ref="B43:F43"/>
    <mergeCell ref="A69:E69"/>
    <mergeCell ref="A49:D49"/>
    <mergeCell ref="A2:G2"/>
    <mergeCell ref="B41:F41"/>
    <mergeCell ref="B29:F29"/>
    <mergeCell ref="B30:F30"/>
    <mergeCell ref="B31:F31"/>
    <mergeCell ref="B32:F32"/>
    <mergeCell ref="B33:F33"/>
    <mergeCell ref="B37:F37"/>
    <mergeCell ref="B38:F38"/>
    <mergeCell ref="B39:F39"/>
    <mergeCell ref="B40:F40"/>
    <mergeCell ref="A28:G28"/>
    <mergeCell ref="A11:G11"/>
    <mergeCell ref="A12:B12"/>
    <mergeCell ref="A25:E25"/>
    <mergeCell ref="A94:D94"/>
    <mergeCell ref="F94:G94"/>
    <mergeCell ref="A95:D95"/>
    <mergeCell ref="F95:G95"/>
    <mergeCell ref="A70:G70"/>
    <mergeCell ref="A71:G71"/>
    <mergeCell ref="B73:F73"/>
    <mergeCell ref="A88:G88"/>
    <mergeCell ref="B86:F86"/>
    <mergeCell ref="B87:F87"/>
    <mergeCell ref="B81:F81"/>
    <mergeCell ref="B82:F82"/>
    <mergeCell ref="B83:F83"/>
    <mergeCell ref="B84:F84"/>
    <mergeCell ref="B85:F85"/>
    <mergeCell ref="B76:F76"/>
    <mergeCell ref="B77:F77"/>
    <mergeCell ref="B78:F78"/>
    <mergeCell ref="B79:F79"/>
    <mergeCell ref="A92:D92"/>
    <mergeCell ref="F92:G92"/>
    <mergeCell ref="G73:G74"/>
    <mergeCell ref="A93:D93"/>
    <mergeCell ref="F93:G93"/>
    <mergeCell ref="A45:G45"/>
    <mergeCell ref="A47:G47"/>
    <mergeCell ref="A89:G89"/>
    <mergeCell ref="A91:G91"/>
    <mergeCell ref="A90:G90"/>
    <mergeCell ref="B80:F80"/>
    <mergeCell ref="A72:G72"/>
    <mergeCell ref="B74:F74"/>
    <mergeCell ref="B75:F75"/>
    <mergeCell ref="A54:G54"/>
    <mergeCell ref="A55:G55"/>
    <mergeCell ref="A56:B56"/>
    <mergeCell ref="A57:B57"/>
    <mergeCell ref="A50:D50"/>
    <mergeCell ref="A51:D51"/>
    <mergeCell ref="A46:G46"/>
    <mergeCell ref="F49:G49"/>
    <mergeCell ref="F50:G50"/>
    <mergeCell ref="F51:G51"/>
    <mergeCell ref="F48:G48"/>
    <mergeCell ref="A48:D48"/>
  </mergeCells>
  <printOptions horizontalCentered="1"/>
  <pageMargins left="0.53149606299212604" right="0.53149606299212604" top="1.1811023622047245" bottom="0.98425196850393704" header="0" footer="0"/>
  <pageSetup paperSize="9" scale="95" orientation="portrait" r:id="rId1"/>
  <rowBreaks count="1" manualBreakCount="1">
    <brk id="51"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N147"/>
  <sheetViews>
    <sheetView view="pageBreakPreview" topLeftCell="A44" zoomScale="120" zoomScaleNormal="150" zoomScaleSheetLayoutView="120" workbookViewId="0">
      <selection activeCell="F52" sqref="F52"/>
    </sheetView>
  </sheetViews>
  <sheetFormatPr defaultRowHeight="12.75" x14ac:dyDescent="0.2"/>
  <cols>
    <col min="1" max="1" width="5.28515625" style="231" customWidth="1"/>
    <col min="2" max="2" width="9.140625" style="231"/>
    <col min="3" max="3" width="11.85546875" style="231" customWidth="1"/>
    <col min="4" max="4" width="21.140625" style="231" customWidth="1"/>
    <col min="5" max="5" width="29.28515625" style="231" customWidth="1"/>
    <col min="6" max="6" width="11.85546875" style="232" customWidth="1"/>
    <col min="7" max="7" width="14.140625" style="231" customWidth="1"/>
    <col min="8" max="8" width="11.85546875" style="232" customWidth="1"/>
    <col min="9" max="9" width="14.140625" style="231" customWidth="1"/>
    <col min="10" max="10" width="11.85546875" style="232" customWidth="1"/>
    <col min="11" max="11" width="13.7109375" style="231" customWidth="1"/>
    <col min="12" max="16384" width="9.140625" style="91"/>
  </cols>
  <sheetData>
    <row r="1" spans="1:11" ht="16.5" thickBot="1" x14ac:dyDescent="0.25">
      <c r="A1" s="656"/>
      <c r="B1" s="657"/>
      <c r="C1" s="657"/>
      <c r="D1" s="657"/>
      <c r="E1" s="657"/>
      <c r="F1" s="657"/>
      <c r="G1" s="657"/>
      <c r="H1" s="171"/>
      <c r="I1" s="171"/>
      <c r="J1" s="171"/>
      <c r="K1" s="171"/>
    </row>
    <row r="2" spans="1:11" ht="12.75" customHeight="1" x14ac:dyDescent="0.2">
      <c r="A2" s="735" t="s">
        <v>1017</v>
      </c>
      <c r="B2" s="736"/>
      <c r="C2" s="736"/>
      <c r="D2" s="736"/>
      <c r="E2" s="736"/>
      <c r="F2" s="736"/>
      <c r="G2" s="736"/>
      <c r="H2" s="739" t="s">
        <v>1004</v>
      </c>
      <c r="I2" s="740"/>
      <c r="J2" s="740"/>
      <c r="K2" s="741"/>
    </row>
    <row r="3" spans="1:11" ht="57.75" customHeight="1" thickBot="1" x14ac:dyDescent="0.25">
      <c r="A3" s="737"/>
      <c r="B3" s="738"/>
      <c r="C3" s="738"/>
      <c r="D3" s="738"/>
      <c r="E3" s="738"/>
      <c r="F3" s="738"/>
      <c r="G3" s="738"/>
      <c r="H3" s="742"/>
      <c r="I3" s="743"/>
      <c r="J3" s="743"/>
      <c r="K3" s="744"/>
    </row>
    <row r="4" spans="1:11" ht="43.5" customHeight="1" thickBot="1" x14ac:dyDescent="0.25">
      <c r="A4" s="705" t="s">
        <v>579</v>
      </c>
      <c r="B4" s="705"/>
      <c r="C4" s="705"/>
      <c r="D4" s="705"/>
      <c r="E4" s="705"/>
      <c r="F4" s="705"/>
      <c r="G4" s="706"/>
      <c r="H4" s="745"/>
      <c r="I4" s="746"/>
      <c r="J4" s="746"/>
      <c r="K4" s="747"/>
    </row>
    <row r="5" spans="1:11" ht="15" customHeight="1" x14ac:dyDescent="0.2">
      <c r="A5" s="596" t="s">
        <v>927</v>
      </c>
      <c r="B5" s="597"/>
      <c r="C5" s="597"/>
      <c r="D5" s="597"/>
      <c r="E5" s="597"/>
      <c r="F5" s="597"/>
      <c r="G5" s="597"/>
      <c r="H5" s="731" t="s">
        <v>1159</v>
      </c>
      <c r="I5" s="732"/>
      <c r="J5" s="731" t="s">
        <v>1160</v>
      </c>
      <c r="K5" s="732"/>
    </row>
    <row r="6" spans="1:11" ht="12.75" customHeight="1" x14ac:dyDescent="0.2">
      <c r="A6" s="658" t="s">
        <v>928</v>
      </c>
      <c r="B6" s="659"/>
      <c r="C6" s="659"/>
      <c r="D6" s="659"/>
      <c r="E6" s="659"/>
      <c r="F6" s="659"/>
      <c r="G6" s="659"/>
      <c r="H6" s="733"/>
      <c r="I6" s="734"/>
      <c r="J6" s="733"/>
      <c r="K6" s="734"/>
    </row>
    <row r="7" spans="1:11" ht="12.75" customHeight="1" x14ac:dyDescent="0.2">
      <c r="A7" s="658" t="s">
        <v>929</v>
      </c>
      <c r="B7" s="659"/>
      <c r="C7" s="659"/>
      <c r="D7" s="659"/>
      <c r="E7" s="659"/>
      <c r="F7" s="659"/>
      <c r="G7" s="659"/>
      <c r="H7" s="733"/>
      <c r="I7" s="734"/>
      <c r="J7" s="733"/>
      <c r="K7" s="734"/>
    </row>
    <row r="8" spans="1:11" ht="15.75" customHeight="1" x14ac:dyDescent="0.2">
      <c r="A8" s="685" t="s">
        <v>1147</v>
      </c>
      <c r="B8" s="686"/>
      <c r="C8" s="686"/>
      <c r="D8" s="686"/>
      <c r="E8" s="686"/>
      <c r="F8" s="686"/>
      <c r="G8" s="686"/>
      <c r="H8" s="733"/>
      <c r="I8" s="734"/>
      <c r="J8" s="733"/>
      <c r="K8" s="734"/>
    </row>
    <row r="9" spans="1:11" x14ac:dyDescent="0.2">
      <c r="A9" s="596" t="s">
        <v>546</v>
      </c>
      <c r="B9" s="597"/>
      <c r="C9" s="597"/>
      <c r="D9" s="597"/>
      <c r="E9" s="597"/>
      <c r="F9" s="597"/>
      <c r="G9" s="597"/>
      <c r="H9" s="733"/>
      <c r="I9" s="734"/>
      <c r="J9" s="733"/>
      <c r="K9" s="734"/>
    </row>
    <row r="10" spans="1:11" x14ac:dyDescent="0.2">
      <c r="A10" s="172" t="s">
        <v>316</v>
      </c>
      <c r="B10" s="687" t="s">
        <v>317</v>
      </c>
      <c r="C10" s="688"/>
      <c r="D10" s="688"/>
      <c r="E10" s="689"/>
      <c r="F10" s="690">
        <v>43580</v>
      </c>
      <c r="G10" s="691"/>
      <c r="H10" s="640">
        <v>43669</v>
      </c>
      <c r="I10" s="641"/>
      <c r="J10" s="640">
        <v>43669</v>
      </c>
      <c r="K10" s="641"/>
    </row>
    <row r="11" spans="1:11" x14ac:dyDescent="0.2">
      <c r="A11" s="172" t="s">
        <v>318</v>
      </c>
      <c r="B11" s="687" t="s">
        <v>319</v>
      </c>
      <c r="C11" s="688"/>
      <c r="D11" s="688"/>
      <c r="E11" s="689"/>
      <c r="F11" s="600" t="s">
        <v>320</v>
      </c>
      <c r="G11" s="601"/>
      <c r="H11" s="642" t="s">
        <v>320</v>
      </c>
      <c r="I11" s="643"/>
      <c r="J11" s="642" t="s">
        <v>320</v>
      </c>
      <c r="K11" s="643"/>
    </row>
    <row r="12" spans="1:11" ht="26.25" customHeight="1" x14ac:dyDescent="0.2">
      <c r="A12" s="173" t="s">
        <v>321</v>
      </c>
      <c r="B12" s="714" t="s">
        <v>605</v>
      </c>
      <c r="C12" s="715"/>
      <c r="D12" s="715"/>
      <c r="E12" s="716"/>
      <c r="F12" s="658" t="s">
        <v>876</v>
      </c>
      <c r="G12" s="659"/>
      <c r="H12" s="644" t="s">
        <v>1161</v>
      </c>
      <c r="I12" s="645"/>
      <c r="J12" s="644" t="s">
        <v>1158</v>
      </c>
      <c r="K12" s="645"/>
    </row>
    <row r="13" spans="1:11" x14ac:dyDescent="0.2">
      <c r="A13" s="172" t="s">
        <v>322</v>
      </c>
      <c r="B13" s="687" t="s">
        <v>1139</v>
      </c>
      <c r="C13" s="688"/>
      <c r="D13" s="688"/>
      <c r="E13" s="689"/>
      <c r="F13" s="600">
        <v>24</v>
      </c>
      <c r="G13" s="601"/>
      <c r="H13" s="646">
        <v>24</v>
      </c>
      <c r="I13" s="647"/>
      <c r="J13" s="646">
        <v>24</v>
      </c>
      <c r="K13" s="647"/>
    </row>
    <row r="14" spans="1:11" ht="28.5" customHeight="1" x14ac:dyDescent="0.2">
      <c r="A14" s="596" t="s">
        <v>547</v>
      </c>
      <c r="B14" s="597"/>
      <c r="C14" s="597"/>
      <c r="D14" s="597"/>
      <c r="E14" s="597"/>
      <c r="F14" s="597"/>
      <c r="G14" s="597"/>
      <c r="H14" s="652"/>
      <c r="I14" s="653"/>
      <c r="J14" s="652"/>
      <c r="K14" s="653"/>
    </row>
    <row r="15" spans="1:11" ht="36" customHeight="1" x14ac:dyDescent="0.2">
      <c r="A15" s="717" t="s">
        <v>323</v>
      </c>
      <c r="B15" s="717"/>
      <c r="C15" s="717"/>
      <c r="D15" s="717"/>
      <c r="E15" s="308" t="s">
        <v>324</v>
      </c>
      <c r="F15" s="718" t="s">
        <v>898</v>
      </c>
      <c r="G15" s="719"/>
      <c r="H15" s="648" t="s">
        <v>898</v>
      </c>
      <c r="I15" s="649"/>
      <c r="J15" s="648" t="s">
        <v>898</v>
      </c>
      <c r="K15" s="649"/>
    </row>
    <row r="16" spans="1:11" ht="18.75" customHeight="1" x14ac:dyDescent="0.2">
      <c r="A16" s="695" t="s">
        <v>916</v>
      </c>
      <c r="B16" s="696"/>
      <c r="C16" s="696"/>
      <c r="D16" s="697"/>
      <c r="E16" s="174" t="s">
        <v>325</v>
      </c>
      <c r="F16" s="693">
        <v>1</v>
      </c>
      <c r="G16" s="694"/>
      <c r="H16" s="638">
        <v>1</v>
      </c>
      <c r="I16" s="639"/>
      <c r="J16" s="638">
        <v>1</v>
      </c>
      <c r="K16" s="639"/>
    </row>
    <row r="17" spans="1:11" ht="19.5" customHeight="1" x14ac:dyDescent="0.2">
      <c r="A17" s="602" t="s">
        <v>1049</v>
      </c>
      <c r="B17" s="603"/>
      <c r="C17" s="603"/>
      <c r="D17" s="603"/>
      <c r="E17" s="603"/>
      <c r="F17" s="603"/>
      <c r="G17" s="603"/>
      <c r="H17" s="615"/>
      <c r="I17" s="616"/>
      <c r="J17" s="615"/>
      <c r="K17" s="616"/>
    </row>
    <row r="18" spans="1:11" ht="20.25" customHeight="1" x14ac:dyDescent="0.2">
      <c r="A18" s="602" t="s">
        <v>1120</v>
      </c>
      <c r="B18" s="603"/>
      <c r="C18" s="603"/>
      <c r="D18" s="603"/>
      <c r="E18" s="603"/>
      <c r="F18" s="603"/>
      <c r="G18" s="603"/>
      <c r="H18" s="615"/>
      <c r="I18" s="616"/>
      <c r="J18" s="615"/>
      <c r="K18" s="616"/>
    </row>
    <row r="19" spans="1:11" x14ac:dyDescent="0.2">
      <c r="A19" s="692" t="s">
        <v>901</v>
      </c>
      <c r="B19" s="692"/>
      <c r="C19" s="692"/>
      <c r="D19" s="692"/>
      <c r="E19" s="692"/>
      <c r="F19" s="692"/>
      <c r="G19" s="596"/>
      <c r="H19" s="610"/>
      <c r="I19" s="611"/>
      <c r="J19" s="610"/>
      <c r="K19" s="611"/>
    </row>
    <row r="20" spans="1:11" x14ac:dyDescent="0.2">
      <c r="A20" s="693" t="s">
        <v>326</v>
      </c>
      <c r="B20" s="693"/>
      <c r="C20" s="693"/>
      <c r="D20" s="693"/>
      <c r="E20" s="693"/>
      <c r="F20" s="693"/>
      <c r="G20" s="694"/>
      <c r="H20" s="634"/>
      <c r="I20" s="635"/>
      <c r="J20" s="634"/>
      <c r="K20" s="635"/>
    </row>
    <row r="21" spans="1:11" x14ac:dyDescent="0.2">
      <c r="A21" s="693" t="s">
        <v>327</v>
      </c>
      <c r="B21" s="693"/>
      <c r="C21" s="693"/>
      <c r="D21" s="693"/>
      <c r="E21" s="693"/>
      <c r="F21" s="693"/>
      <c r="G21" s="694"/>
      <c r="H21" s="634"/>
      <c r="I21" s="635"/>
      <c r="J21" s="634"/>
      <c r="K21" s="635"/>
    </row>
    <row r="22" spans="1:11" ht="29.25" customHeight="1" x14ac:dyDescent="0.2">
      <c r="A22" s="177">
        <v>1</v>
      </c>
      <c r="B22" s="709" t="s">
        <v>328</v>
      </c>
      <c r="C22" s="710"/>
      <c r="D22" s="710"/>
      <c r="E22" s="711"/>
      <c r="F22" s="720" t="s">
        <v>604</v>
      </c>
      <c r="G22" s="721"/>
      <c r="H22" s="650" t="s">
        <v>604</v>
      </c>
      <c r="I22" s="651"/>
      <c r="J22" s="650" t="s">
        <v>604</v>
      </c>
      <c r="K22" s="651"/>
    </row>
    <row r="23" spans="1:11" x14ac:dyDescent="0.2">
      <c r="A23" s="172">
        <v>2</v>
      </c>
      <c r="B23" s="722" t="s">
        <v>549</v>
      </c>
      <c r="C23" s="723"/>
      <c r="D23" s="723"/>
      <c r="E23" s="724"/>
      <c r="F23" s="596" t="s">
        <v>581</v>
      </c>
      <c r="G23" s="597"/>
      <c r="H23" s="652" t="s">
        <v>581</v>
      </c>
      <c r="I23" s="653"/>
      <c r="J23" s="652" t="s">
        <v>581</v>
      </c>
      <c r="K23" s="653"/>
    </row>
    <row r="24" spans="1:11" ht="16.5" customHeight="1" x14ac:dyDescent="0.2">
      <c r="A24" s="173">
        <v>3</v>
      </c>
      <c r="B24" s="725" t="s">
        <v>606</v>
      </c>
      <c r="C24" s="726"/>
      <c r="D24" s="726"/>
      <c r="E24" s="727"/>
      <c r="F24" s="707">
        <v>7964.5</v>
      </c>
      <c r="G24" s="708"/>
      <c r="H24" s="654">
        <v>8123.79</v>
      </c>
      <c r="I24" s="655"/>
      <c r="J24" s="654">
        <v>8483</v>
      </c>
      <c r="K24" s="655"/>
    </row>
    <row r="25" spans="1:11" ht="28.5" customHeight="1" x14ac:dyDescent="0.2">
      <c r="A25" s="172">
        <v>4</v>
      </c>
      <c r="B25" s="709" t="s">
        <v>329</v>
      </c>
      <c r="C25" s="710"/>
      <c r="D25" s="710"/>
      <c r="E25" s="711"/>
      <c r="F25" s="658" t="str">
        <f>A16</f>
        <v>Engenheiro(a) Eletricista de Manutenção</v>
      </c>
      <c r="G25" s="659"/>
      <c r="H25" s="636" t="str">
        <f>A16</f>
        <v>Engenheiro(a) Eletricista de Manutenção</v>
      </c>
      <c r="I25" s="637"/>
      <c r="J25" s="636">
        <f>C16</f>
        <v>0</v>
      </c>
      <c r="K25" s="637"/>
    </row>
    <row r="26" spans="1:11" x14ac:dyDescent="0.2">
      <c r="A26" s="172">
        <v>5</v>
      </c>
      <c r="B26" s="709" t="s">
        <v>580</v>
      </c>
      <c r="C26" s="710"/>
      <c r="D26" s="710"/>
      <c r="E26" s="711"/>
      <c r="F26" s="712" t="s">
        <v>611</v>
      </c>
      <c r="G26" s="713"/>
      <c r="H26" s="638" t="s">
        <v>611</v>
      </c>
      <c r="I26" s="639"/>
      <c r="J26" s="638" t="s">
        <v>611</v>
      </c>
      <c r="K26" s="639"/>
    </row>
    <row r="27" spans="1:11" x14ac:dyDescent="0.2">
      <c r="A27" s="180"/>
      <c r="B27" s="683" t="s">
        <v>1005</v>
      </c>
      <c r="C27" s="684"/>
      <c r="D27" s="684"/>
      <c r="E27" s="684"/>
      <c r="F27" s="193"/>
      <c r="G27" s="181"/>
      <c r="H27" s="182"/>
      <c r="I27" s="183"/>
      <c r="J27" s="182"/>
      <c r="K27" s="183"/>
    </row>
    <row r="28" spans="1:11" x14ac:dyDescent="0.2">
      <c r="A28" s="172">
        <v>1</v>
      </c>
      <c r="B28" s="694" t="s">
        <v>330</v>
      </c>
      <c r="C28" s="698"/>
      <c r="D28" s="698"/>
      <c r="E28" s="699"/>
      <c r="F28" s="172" t="s">
        <v>341</v>
      </c>
      <c r="G28" s="184" t="s">
        <v>331</v>
      </c>
      <c r="H28" s="233" t="s">
        <v>341</v>
      </c>
      <c r="I28" s="234" t="s">
        <v>331</v>
      </c>
      <c r="J28" s="233" t="s">
        <v>341</v>
      </c>
      <c r="K28" s="234" t="s">
        <v>331</v>
      </c>
    </row>
    <row r="29" spans="1:11" x14ac:dyDescent="0.2">
      <c r="A29" s="172" t="s">
        <v>316</v>
      </c>
      <c r="B29" s="627" t="s">
        <v>935</v>
      </c>
      <c r="C29" s="628"/>
      <c r="D29" s="628"/>
      <c r="E29" s="629"/>
      <c r="F29" s="260">
        <v>1</v>
      </c>
      <c r="G29" s="186">
        <f>F24</f>
        <v>7964.5</v>
      </c>
      <c r="H29" s="235">
        <v>1</v>
      </c>
      <c r="I29" s="236">
        <f>H24</f>
        <v>8123.79</v>
      </c>
      <c r="J29" s="235">
        <v>1</v>
      </c>
      <c r="K29" s="236">
        <f>J24</f>
        <v>8483</v>
      </c>
    </row>
    <row r="30" spans="1:11" x14ac:dyDescent="0.2">
      <c r="A30" s="172" t="s">
        <v>318</v>
      </c>
      <c r="B30" s="627" t="s">
        <v>974</v>
      </c>
      <c r="C30" s="628"/>
      <c r="D30" s="628"/>
      <c r="E30" s="629"/>
      <c r="F30" s="260">
        <v>0</v>
      </c>
      <c r="G30" s="188">
        <f>G29*F30</f>
        <v>0</v>
      </c>
      <c r="H30" s="235">
        <v>0</v>
      </c>
      <c r="I30" s="237">
        <f>I29*H30</f>
        <v>0</v>
      </c>
      <c r="J30" s="235">
        <v>0</v>
      </c>
      <c r="K30" s="237">
        <f>K29*J30</f>
        <v>0</v>
      </c>
    </row>
    <row r="31" spans="1:11" x14ac:dyDescent="0.2">
      <c r="A31" s="172" t="s">
        <v>321</v>
      </c>
      <c r="B31" s="627" t="s">
        <v>551</v>
      </c>
      <c r="C31" s="628"/>
      <c r="D31" s="628"/>
      <c r="E31" s="629"/>
      <c r="F31" s="260">
        <v>0</v>
      </c>
      <c r="G31" s="188">
        <f t="shared" ref="G31:G33" si="0">G30*F31</f>
        <v>0</v>
      </c>
      <c r="H31" s="235">
        <v>0</v>
      </c>
      <c r="I31" s="237">
        <f t="shared" ref="I31:I33" si="1">I30*H31</f>
        <v>0</v>
      </c>
      <c r="J31" s="235">
        <v>0</v>
      </c>
      <c r="K31" s="237">
        <f t="shared" ref="K31:K33" si="2">K30*J31</f>
        <v>0</v>
      </c>
    </row>
    <row r="32" spans="1:11" x14ac:dyDescent="0.2">
      <c r="A32" s="172" t="s">
        <v>322</v>
      </c>
      <c r="B32" s="627" t="s">
        <v>552</v>
      </c>
      <c r="C32" s="628"/>
      <c r="D32" s="628"/>
      <c r="E32" s="629"/>
      <c r="F32" s="260">
        <v>0</v>
      </c>
      <c r="G32" s="188">
        <f t="shared" si="0"/>
        <v>0</v>
      </c>
      <c r="H32" s="235">
        <v>0</v>
      </c>
      <c r="I32" s="237">
        <f t="shared" si="1"/>
        <v>0</v>
      </c>
      <c r="J32" s="235">
        <v>0</v>
      </c>
      <c r="K32" s="237">
        <f t="shared" si="2"/>
        <v>0</v>
      </c>
    </row>
    <row r="33" spans="1:11" x14ac:dyDescent="0.2">
      <c r="A33" s="172" t="s">
        <v>333</v>
      </c>
      <c r="B33" s="627" t="s">
        <v>553</v>
      </c>
      <c r="C33" s="628"/>
      <c r="D33" s="628"/>
      <c r="E33" s="629"/>
      <c r="F33" s="260">
        <v>0</v>
      </c>
      <c r="G33" s="188">
        <f t="shared" si="0"/>
        <v>0</v>
      </c>
      <c r="H33" s="235">
        <v>0</v>
      </c>
      <c r="I33" s="237">
        <f t="shared" si="1"/>
        <v>0</v>
      </c>
      <c r="J33" s="235">
        <v>0</v>
      </c>
      <c r="K33" s="237">
        <f t="shared" si="2"/>
        <v>0</v>
      </c>
    </row>
    <row r="34" spans="1:11" x14ac:dyDescent="0.2">
      <c r="A34" s="172" t="s">
        <v>334</v>
      </c>
      <c r="B34" s="627" t="s">
        <v>880</v>
      </c>
      <c r="C34" s="628"/>
      <c r="D34" s="628"/>
      <c r="E34" s="629"/>
      <c r="F34" s="260">
        <v>0</v>
      </c>
      <c r="G34" s="188">
        <v>0</v>
      </c>
      <c r="H34" s="235">
        <v>0</v>
      </c>
      <c r="I34" s="237">
        <v>0</v>
      </c>
      <c r="J34" s="235">
        <v>0</v>
      </c>
      <c r="K34" s="237">
        <v>0</v>
      </c>
    </row>
    <row r="35" spans="1:11" x14ac:dyDescent="0.2">
      <c r="A35" s="189"/>
      <c r="B35" s="596" t="s">
        <v>337</v>
      </c>
      <c r="C35" s="597"/>
      <c r="D35" s="597"/>
      <c r="E35" s="597"/>
      <c r="F35" s="190">
        <f t="shared" ref="F35:K35" si="3">SUM(F29:F34)</f>
        <v>1</v>
      </c>
      <c r="G35" s="191">
        <f t="shared" si="3"/>
        <v>7964.5</v>
      </c>
      <c r="H35" s="238">
        <f t="shared" si="3"/>
        <v>1</v>
      </c>
      <c r="I35" s="239">
        <f t="shared" si="3"/>
        <v>8123.79</v>
      </c>
      <c r="J35" s="238">
        <f t="shared" si="3"/>
        <v>1</v>
      </c>
      <c r="K35" s="239">
        <f t="shared" si="3"/>
        <v>8483</v>
      </c>
    </row>
    <row r="36" spans="1:11" x14ac:dyDescent="0.2">
      <c r="A36" s="700" t="s">
        <v>1121</v>
      </c>
      <c r="B36" s="701"/>
      <c r="C36" s="701"/>
      <c r="D36" s="701"/>
      <c r="E36" s="701"/>
      <c r="F36" s="701"/>
      <c r="G36" s="701"/>
      <c r="H36" s="634"/>
      <c r="I36" s="635"/>
      <c r="J36" s="634"/>
      <c r="K36" s="635"/>
    </row>
    <row r="37" spans="1:11" x14ac:dyDescent="0.2">
      <c r="A37" s="600"/>
      <c r="B37" s="601"/>
      <c r="C37" s="601"/>
      <c r="D37" s="601"/>
      <c r="E37" s="601"/>
      <c r="F37" s="601"/>
      <c r="G37" s="601"/>
      <c r="H37" s="634"/>
      <c r="I37" s="635"/>
      <c r="J37" s="634"/>
      <c r="K37" s="635"/>
    </row>
    <row r="38" spans="1:11" x14ac:dyDescent="0.2">
      <c r="A38" s="192"/>
      <c r="B38" s="596" t="s">
        <v>555</v>
      </c>
      <c r="C38" s="597"/>
      <c r="D38" s="597"/>
      <c r="E38" s="633"/>
      <c r="F38" s="193"/>
      <c r="G38" s="194"/>
      <c r="H38" s="610"/>
      <c r="I38" s="611"/>
      <c r="J38" s="610"/>
      <c r="K38" s="611"/>
    </row>
    <row r="39" spans="1:11" x14ac:dyDescent="0.2">
      <c r="A39" s="676" t="s">
        <v>556</v>
      </c>
      <c r="B39" s="677"/>
      <c r="C39" s="677"/>
      <c r="D39" s="677"/>
      <c r="E39" s="677"/>
      <c r="F39" s="677"/>
      <c r="G39" s="677"/>
      <c r="H39" s="612"/>
      <c r="I39" s="613"/>
      <c r="J39" s="612"/>
      <c r="K39" s="613"/>
    </row>
    <row r="40" spans="1:11" x14ac:dyDescent="0.2">
      <c r="A40" s="172" t="s">
        <v>557</v>
      </c>
      <c r="B40" s="624" t="s">
        <v>572</v>
      </c>
      <c r="C40" s="625"/>
      <c r="D40" s="625"/>
      <c r="E40" s="626"/>
      <c r="F40" s="172" t="s">
        <v>341</v>
      </c>
      <c r="G40" s="184" t="s">
        <v>331</v>
      </c>
      <c r="H40" s="233" t="s">
        <v>341</v>
      </c>
      <c r="I40" s="234" t="s">
        <v>331</v>
      </c>
      <c r="J40" s="233" t="s">
        <v>341</v>
      </c>
      <c r="K40" s="234" t="s">
        <v>331</v>
      </c>
    </row>
    <row r="41" spans="1:11" x14ac:dyDescent="0.2">
      <c r="A41" s="172" t="s">
        <v>316</v>
      </c>
      <c r="B41" s="627" t="s">
        <v>559</v>
      </c>
      <c r="C41" s="628"/>
      <c r="D41" s="628"/>
      <c r="E41" s="629"/>
      <c r="F41" s="203">
        <v>8.3299999999999999E-2</v>
      </c>
      <c r="G41" s="188">
        <f>F41*G35</f>
        <v>663.44285000000002</v>
      </c>
      <c r="H41" s="240">
        <v>8.3299999999999999E-2</v>
      </c>
      <c r="I41" s="237">
        <f>H41*I35</f>
        <v>676.71170699999993</v>
      </c>
      <c r="J41" s="240">
        <v>8.3299999999999999E-2</v>
      </c>
      <c r="K41" s="237">
        <f>J41*K35</f>
        <v>706.63390000000004</v>
      </c>
    </row>
    <row r="42" spans="1:11" x14ac:dyDescent="0.2">
      <c r="A42" s="197" t="s">
        <v>318</v>
      </c>
      <c r="B42" s="728" t="s">
        <v>607</v>
      </c>
      <c r="C42" s="729"/>
      <c r="D42" s="729"/>
      <c r="E42" s="730"/>
      <c r="F42" s="261">
        <f>8.33%+(8.33%*1/3)</f>
        <v>0.11106666666666666</v>
      </c>
      <c r="G42" s="198">
        <f>F42*G35</f>
        <v>884.59046666666666</v>
      </c>
      <c r="H42" s="241">
        <f>8.33%+(8.33%*1/3)</f>
        <v>0.11106666666666666</v>
      </c>
      <c r="I42" s="242">
        <f>H42*I35</f>
        <v>902.28227599999991</v>
      </c>
      <c r="J42" s="241">
        <f>8.33%+(8.33%*1/3)</f>
        <v>0.11106666666666666</v>
      </c>
      <c r="K42" s="242">
        <f>J42*K35</f>
        <v>942.17853333333323</v>
      </c>
    </row>
    <row r="43" spans="1:11" x14ac:dyDescent="0.2">
      <c r="A43" s="192"/>
      <c r="B43" s="596" t="s">
        <v>352</v>
      </c>
      <c r="C43" s="597"/>
      <c r="D43" s="597"/>
      <c r="E43" s="633"/>
      <c r="F43" s="199">
        <f t="shared" ref="F43:K43" si="4">SUM(F41:F42)</f>
        <v>0.19436666666666666</v>
      </c>
      <c r="G43" s="191">
        <f t="shared" si="4"/>
        <v>1548.0333166666667</v>
      </c>
      <c r="H43" s="243">
        <f t="shared" si="4"/>
        <v>0.19436666666666666</v>
      </c>
      <c r="I43" s="239">
        <f t="shared" si="4"/>
        <v>1578.9939829999998</v>
      </c>
      <c r="J43" s="243">
        <f t="shared" si="4"/>
        <v>0.19436666666666666</v>
      </c>
      <c r="K43" s="239">
        <f t="shared" si="4"/>
        <v>1648.8124333333333</v>
      </c>
    </row>
    <row r="44" spans="1:11" ht="21.75" customHeight="1" x14ac:dyDescent="0.2">
      <c r="A44" s="602" t="s">
        <v>1122</v>
      </c>
      <c r="B44" s="603"/>
      <c r="C44" s="603"/>
      <c r="D44" s="603"/>
      <c r="E44" s="603"/>
      <c r="F44" s="603"/>
      <c r="G44" s="603"/>
      <c r="H44" s="615"/>
      <c r="I44" s="616"/>
      <c r="J44" s="615"/>
      <c r="K44" s="616"/>
    </row>
    <row r="45" spans="1:11" ht="15" customHeight="1" x14ac:dyDescent="0.2">
      <c r="A45" s="602" t="s">
        <v>1123</v>
      </c>
      <c r="B45" s="603"/>
      <c r="C45" s="603"/>
      <c r="D45" s="603"/>
      <c r="E45" s="603"/>
      <c r="F45" s="603"/>
      <c r="G45" s="603"/>
      <c r="H45" s="615"/>
      <c r="I45" s="616"/>
      <c r="J45" s="615"/>
      <c r="K45" s="616"/>
    </row>
    <row r="46" spans="1:11" ht="30.75" customHeight="1" x14ac:dyDescent="0.2">
      <c r="A46" s="682" t="s">
        <v>1124</v>
      </c>
      <c r="B46" s="682"/>
      <c r="C46" s="682"/>
      <c r="D46" s="682"/>
      <c r="E46" s="682"/>
      <c r="F46" s="682"/>
      <c r="G46" s="682"/>
      <c r="H46" s="615"/>
      <c r="I46" s="616"/>
      <c r="J46" s="615"/>
      <c r="K46" s="616"/>
    </row>
    <row r="47" spans="1:11" x14ac:dyDescent="0.2">
      <c r="A47" s="201"/>
      <c r="B47" s="202"/>
      <c r="C47" s="202"/>
      <c r="D47" s="202"/>
      <c r="E47" s="202"/>
      <c r="F47" s="207"/>
      <c r="G47" s="202"/>
      <c r="H47" s="615"/>
      <c r="I47" s="616"/>
      <c r="J47" s="615"/>
      <c r="K47" s="616"/>
    </row>
    <row r="48" spans="1:11" x14ac:dyDescent="0.2">
      <c r="A48" s="676" t="s">
        <v>560</v>
      </c>
      <c r="B48" s="677"/>
      <c r="C48" s="677"/>
      <c r="D48" s="677"/>
      <c r="E48" s="677"/>
      <c r="F48" s="677"/>
      <c r="G48" s="677"/>
      <c r="H48" s="634"/>
      <c r="I48" s="635"/>
      <c r="J48" s="634"/>
      <c r="K48" s="635"/>
    </row>
    <row r="49" spans="1:12" ht="25.5" x14ac:dyDescent="0.2">
      <c r="A49" s="172" t="s">
        <v>561</v>
      </c>
      <c r="B49" s="624" t="s">
        <v>562</v>
      </c>
      <c r="C49" s="601"/>
      <c r="D49" s="601"/>
      <c r="E49" s="681"/>
      <c r="F49" s="203" t="s">
        <v>563</v>
      </c>
      <c r="G49" s="184" t="s">
        <v>331</v>
      </c>
      <c r="H49" s="240" t="s">
        <v>563</v>
      </c>
      <c r="I49" s="234" t="s">
        <v>331</v>
      </c>
      <c r="J49" s="240" t="s">
        <v>563</v>
      </c>
      <c r="K49" s="234" t="s">
        <v>331</v>
      </c>
    </row>
    <row r="50" spans="1:12" x14ac:dyDescent="0.2">
      <c r="A50" s="172" t="s">
        <v>316</v>
      </c>
      <c r="B50" s="627" t="s">
        <v>342</v>
      </c>
      <c r="C50" s="628"/>
      <c r="D50" s="628"/>
      <c r="E50" s="629"/>
      <c r="F50" s="208"/>
      <c r="G50" s="204">
        <f>F50*(G35+G43+G117)</f>
        <v>0</v>
      </c>
      <c r="H50" s="240"/>
      <c r="I50" s="244">
        <f>H50*(I35+I43+I117)</f>
        <v>0</v>
      </c>
      <c r="J50" s="240"/>
      <c r="K50" s="244">
        <f>J50*(K35+K43+K117)</f>
        <v>0</v>
      </c>
    </row>
    <row r="51" spans="1:12" x14ac:dyDescent="0.2">
      <c r="A51" s="172" t="s">
        <v>318</v>
      </c>
      <c r="B51" s="627" t="s">
        <v>564</v>
      </c>
      <c r="C51" s="628"/>
      <c r="D51" s="628"/>
      <c r="E51" s="629"/>
      <c r="F51" s="208">
        <v>2.5000000000000001E-2</v>
      </c>
      <c r="G51" s="204">
        <f>F51*(G35+G43+G117)</f>
        <v>244.13626097222223</v>
      </c>
      <c r="H51" s="240">
        <v>2.5000000000000001E-2</v>
      </c>
      <c r="I51" s="244">
        <f>H51*(I35+I43+I117)</f>
        <v>249.01898619166664</v>
      </c>
      <c r="J51" s="240">
        <v>2.5000000000000001E-2</v>
      </c>
      <c r="K51" s="244">
        <f>J51*(K35+K43+K117)</f>
        <v>260.02987027777777</v>
      </c>
    </row>
    <row r="52" spans="1:12" x14ac:dyDescent="0.2">
      <c r="A52" s="172" t="s">
        <v>321</v>
      </c>
      <c r="B52" s="627" t="s">
        <v>565</v>
      </c>
      <c r="C52" s="628"/>
      <c r="D52" s="628"/>
      <c r="E52" s="629"/>
      <c r="F52" s="208">
        <v>2.7900000000000001E-2</v>
      </c>
      <c r="G52" s="204">
        <f>F52*(G35+G43+G117)</f>
        <v>272.45606724500004</v>
      </c>
      <c r="H52" s="196">
        <v>2.76E-2</v>
      </c>
      <c r="I52" s="505">
        <f>H52*(I35+I43+I117)</f>
        <v>274.91696075559997</v>
      </c>
      <c r="J52" s="1088">
        <v>2.76E-2</v>
      </c>
      <c r="K52" s="505">
        <f>J52*(K35+K43+K117)</f>
        <v>287.07297678666663</v>
      </c>
      <c r="L52" s="504"/>
    </row>
    <row r="53" spans="1:12" x14ac:dyDescent="0.2">
      <c r="A53" s="172" t="s">
        <v>322</v>
      </c>
      <c r="B53" s="627" t="s">
        <v>566</v>
      </c>
      <c r="C53" s="628"/>
      <c r="D53" s="628"/>
      <c r="E53" s="629"/>
      <c r="F53" s="208">
        <v>1.4999999999999999E-2</v>
      </c>
      <c r="G53" s="204">
        <f>F53*(G35+G43+G117)</f>
        <v>146.48175658333332</v>
      </c>
      <c r="H53" s="240">
        <v>1.4999999999999999E-2</v>
      </c>
      <c r="I53" s="244">
        <f>H53*(I35+I43+I117)</f>
        <v>149.41139171499998</v>
      </c>
      <c r="J53" s="240">
        <v>1.4999999999999999E-2</v>
      </c>
      <c r="K53" s="244">
        <f>J53*(K35+K43+K117)</f>
        <v>156.01792216666666</v>
      </c>
    </row>
    <row r="54" spans="1:12" x14ac:dyDescent="0.2">
      <c r="A54" s="172" t="s">
        <v>333</v>
      </c>
      <c r="B54" s="627" t="s">
        <v>343</v>
      </c>
      <c r="C54" s="628"/>
      <c r="D54" s="628"/>
      <c r="E54" s="629"/>
      <c r="F54" s="208">
        <v>0.01</v>
      </c>
      <c r="G54" s="204">
        <f>F54*(G35+G43+G117)</f>
        <v>97.654504388888896</v>
      </c>
      <c r="H54" s="240">
        <v>0.01</v>
      </c>
      <c r="I54" s="244">
        <f>H54*(I35+I43+I117)</f>
        <v>99.607594476666662</v>
      </c>
      <c r="J54" s="240">
        <v>0.01</v>
      </c>
      <c r="K54" s="244">
        <f>J54*(K35+K43+K117)</f>
        <v>104.01194811111111</v>
      </c>
    </row>
    <row r="55" spans="1:12" x14ac:dyDescent="0.2">
      <c r="A55" s="172" t="s">
        <v>334</v>
      </c>
      <c r="B55" s="627" t="s">
        <v>346</v>
      </c>
      <c r="C55" s="628"/>
      <c r="D55" s="628"/>
      <c r="E55" s="629"/>
      <c r="F55" s="208">
        <v>6.0000000000000001E-3</v>
      </c>
      <c r="G55" s="204">
        <f>F55*(G35+G43+G117)</f>
        <v>58.592702633333339</v>
      </c>
      <c r="H55" s="240">
        <v>6.0000000000000001E-3</v>
      </c>
      <c r="I55" s="244">
        <f>H55*(I35+I43+I117)</f>
        <v>59.764556685999992</v>
      </c>
      <c r="J55" s="240">
        <v>6.0000000000000001E-3</v>
      </c>
      <c r="K55" s="244">
        <f>J55*(K35+K43+K117)</f>
        <v>62.407168866666666</v>
      </c>
    </row>
    <row r="56" spans="1:12" x14ac:dyDescent="0.2">
      <c r="A56" s="172" t="s">
        <v>335</v>
      </c>
      <c r="B56" s="627" t="s">
        <v>344</v>
      </c>
      <c r="C56" s="628"/>
      <c r="D56" s="628"/>
      <c r="E56" s="629"/>
      <c r="F56" s="208">
        <v>2E-3</v>
      </c>
      <c r="G56" s="204">
        <f>F56*(G35+G43+G117)</f>
        <v>19.530900877777778</v>
      </c>
      <c r="H56" s="240">
        <v>2E-3</v>
      </c>
      <c r="I56" s="244">
        <f>H56*(I35+I43+I117)</f>
        <v>19.921518895333332</v>
      </c>
      <c r="J56" s="240">
        <v>2E-3</v>
      </c>
      <c r="K56" s="244">
        <f>J56*(K35+K43+K117)</f>
        <v>20.802389622222222</v>
      </c>
    </row>
    <row r="57" spans="1:12" x14ac:dyDescent="0.2">
      <c r="A57" s="172" t="s">
        <v>336</v>
      </c>
      <c r="B57" s="627" t="s">
        <v>345</v>
      </c>
      <c r="C57" s="628"/>
      <c r="D57" s="628"/>
      <c r="E57" s="629"/>
      <c r="F57" s="208">
        <v>0.08</v>
      </c>
      <c r="G57" s="204">
        <f>F57*(G35+G43+G117)</f>
        <v>781.23603511111116</v>
      </c>
      <c r="H57" s="240">
        <v>0.08</v>
      </c>
      <c r="I57" s="244">
        <f>H57*(I35+I43+I117)</f>
        <v>796.8607558133333</v>
      </c>
      <c r="J57" s="240">
        <v>0.08</v>
      </c>
      <c r="K57" s="244">
        <f>J57*(K35+K43+K117)</f>
        <v>832.09558488888888</v>
      </c>
    </row>
    <row r="58" spans="1:12" x14ac:dyDescent="0.2">
      <c r="A58" s="192"/>
      <c r="B58" s="596" t="s">
        <v>352</v>
      </c>
      <c r="C58" s="597"/>
      <c r="D58" s="597"/>
      <c r="E58" s="633"/>
      <c r="F58" s="199">
        <f t="shared" ref="F58:K58" si="5">SUM(F50:F57)</f>
        <v>0.16589999999999999</v>
      </c>
      <c r="G58" s="205">
        <f t="shared" si="5"/>
        <v>1620.0882278116669</v>
      </c>
      <c r="H58" s="243">
        <f t="shared" si="5"/>
        <v>0.1656</v>
      </c>
      <c r="I58" s="245">
        <f t="shared" si="5"/>
        <v>1649.5017645335997</v>
      </c>
      <c r="J58" s="243">
        <f t="shared" si="5"/>
        <v>0.1656</v>
      </c>
      <c r="K58" s="245">
        <f t="shared" si="5"/>
        <v>1722.4378607200001</v>
      </c>
    </row>
    <row r="59" spans="1:12" ht="17.25" customHeight="1" x14ac:dyDescent="0.2">
      <c r="A59" s="602" t="s">
        <v>1125</v>
      </c>
      <c r="B59" s="603"/>
      <c r="C59" s="603"/>
      <c r="D59" s="603"/>
      <c r="E59" s="603"/>
      <c r="F59" s="603"/>
      <c r="G59" s="603"/>
      <c r="H59" s="615"/>
      <c r="I59" s="616"/>
      <c r="J59" s="615"/>
      <c r="K59" s="616"/>
    </row>
    <row r="60" spans="1:12" ht="12.75" customHeight="1" x14ac:dyDescent="0.2">
      <c r="A60" s="602" t="s">
        <v>1126</v>
      </c>
      <c r="B60" s="603"/>
      <c r="C60" s="603"/>
      <c r="D60" s="603"/>
      <c r="E60" s="603"/>
      <c r="F60" s="603"/>
      <c r="G60" s="603"/>
      <c r="H60" s="615"/>
      <c r="I60" s="616"/>
      <c r="J60" s="615"/>
      <c r="K60" s="616"/>
    </row>
    <row r="61" spans="1:12" ht="13.5" customHeight="1" x14ac:dyDescent="0.2">
      <c r="A61" s="604" t="s">
        <v>936</v>
      </c>
      <c r="B61" s="605"/>
      <c r="C61" s="605"/>
      <c r="D61" s="605"/>
      <c r="E61" s="605"/>
      <c r="F61" s="605"/>
      <c r="G61" s="605"/>
      <c r="H61" s="615"/>
      <c r="I61" s="616"/>
      <c r="J61" s="615"/>
      <c r="K61" s="616"/>
    </row>
    <row r="62" spans="1:12" x14ac:dyDescent="0.2">
      <c r="A62" s="184"/>
      <c r="B62" s="207"/>
      <c r="C62" s="202"/>
      <c r="D62" s="202"/>
      <c r="E62" s="202"/>
      <c r="F62" s="208"/>
      <c r="G62" s="209"/>
      <c r="H62" s="615"/>
      <c r="I62" s="616"/>
      <c r="J62" s="615"/>
      <c r="K62" s="616"/>
    </row>
    <row r="63" spans="1:12" x14ac:dyDescent="0.2">
      <c r="A63" s="676" t="s">
        <v>567</v>
      </c>
      <c r="B63" s="677"/>
      <c r="C63" s="677"/>
      <c r="D63" s="677"/>
      <c r="E63" s="677"/>
      <c r="F63" s="677"/>
      <c r="G63" s="677"/>
      <c r="H63" s="615"/>
      <c r="I63" s="616"/>
      <c r="J63" s="615"/>
      <c r="K63" s="616"/>
    </row>
    <row r="64" spans="1:12" x14ac:dyDescent="0.2">
      <c r="A64" s="172" t="s">
        <v>568</v>
      </c>
      <c r="B64" s="672" t="s">
        <v>569</v>
      </c>
      <c r="C64" s="672"/>
      <c r="D64" s="672"/>
      <c r="E64" s="672"/>
      <c r="F64" s="672"/>
      <c r="G64" s="184" t="s">
        <v>331</v>
      </c>
      <c r="H64" s="178"/>
      <c r="I64" s="234" t="s">
        <v>331</v>
      </c>
      <c r="J64" s="512"/>
      <c r="K64" s="234" t="s">
        <v>331</v>
      </c>
    </row>
    <row r="65" spans="1:11" ht="27" customHeight="1" x14ac:dyDescent="0.2">
      <c r="A65" s="172" t="s">
        <v>316</v>
      </c>
      <c r="B65" s="627" t="s">
        <v>1127</v>
      </c>
      <c r="C65" s="628"/>
      <c r="D65" s="628"/>
      <c r="E65" s="628"/>
      <c r="F65" s="629"/>
      <c r="G65" s="188"/>
      <c r="H65" s="210"/>
      <c r="I65" s="237"/>
      <c r="J65" s="210"/>
      <c r="K65" s="237"/>
    </row>
    <row r="66" spans="1:11" ht="27.75" customHeight="1" x14ac:dyDescent="0.2">
      <c r="A66" s="172" t="s">
        <v>318</v>
      </c>
      <c r="B66" s="627" t="s">
        <v>1128</v>
      </c>
      <c r="C66" s="628"/>
      <c r="D66" s="628"/>
      <c r="E66" s="628"/>
      <c r="F66" s="629"/>
      <c r="G66" s="188">
        <f>18*21.5</f>
        <v>387</v>
      </c>
      <c r="H66" s="210"/>
      <c r="I66" s="237">
        <f>22*21.5</f>
        <v>473</v>
      </c>
      <c r="J66" s="210"/>
      <c r="K66" s="237">
        <f>25*21.5</f>
        <v>537.5</v>
      </c>
    </row>
    <row r="67" spans="1:11" x14ac:dyDescent="0.2">
      <c r="A67" s="172" t="s">
        <v>321</v>
      </c>
      <c r="B67" s="598" t="s">
        <v>909</v>
      </c>
      <c r="C67" s="599"/>
      <c r="D67" s="599"/>
      <c r="E67" s="599"/>
      <c r="F67" s="675"/>
      <c r="G67" s="186" t="s">
        <v>1018</v>
      </c>
      <c r="H67" s="210"/>
      <c r="I67" s="236" t="s">
        <v>1018</v>
      </c>
      <c r="J67" s="210"/>
      <c r="K67" s="236" t="s">
        <v>1018</v>
      </c>
    </row>
    <row r="68" spans="1:11" x14ac:dyDescent="0.2">
      <c r="A68" s="172" t="s">
        <v>322</v>
      </c>
      <c r="B68" s="598" t="s">
        <v>910</v>
      </c>
      <c r="C68" s="599"/>
      <c r="D68" s="599"/>
      <c r="E68" s="599"/>
      <c r="F68" s="675"/>
      <c r="G68" s="188">
        <v>0</v>
      </c>
      <c r="H68" s="210"/>
      <c r="I68" s="237">
        <v>0</v>
      </c>
      <c r="J68" s="210"/>
      <c r="K68" s="237">
        <v>0</v>
      </c>
    </row>
    <row r="69" spans="1:11" x14ac:dyDescent="0.2">
      <c r="A69" s="172" t="s">
        <v>333</v>
      </c>
      <c r="B69" s="598" t="s">
        <v>570</v>
      </c>
      <c r="C69" s="599"/>
      <c r="D69" s="599"/>
      <c r="E69" s="599"/>
      <c r="F69" s="675"/>
      <c r="G69" s="188">
        <v>0</v>
      </c>
      <c r="H69" s="210"/>
      <c r="I69" s="237">
        <v>0</v>
      </c>
      <c r="J69" s="210"/>
      <c r="K69" s="237">
        <v>0</v>
      </c>
    </row>
    <row r="70" spans="1:11" x14ac:dyDescent="0.2">
      <c r="A70" s="172" t="s">
        <v>334</v>
      </c>
      <c r="B70" s="627" t="s">
        <v>1006</v>
      </c>
      <c r="C70" s="628"/>
      <c r="D70" s="628"/>
      <c r="E70" s="628"/>
      <c r="F70" s="629"/>
      <c r="G70" s="188">
        <v>0</v>
      </c>
      <c r="H70" s="210"/>
      <c r="I70" s="237">
        <v>0</v>
      </c>
      <c r="J70" s="210"/>
      <c r="K70" s="237">
        <v>10.65</v>
      </c>
    </row>
    <row r="71" spans="1:11" x14ac:dyDescent="0.2">
      <c r="A71" s="160" t="s">
        <v>335</v>
      </c>
      <c r="B71" s="678" t="s">
        <v>931</v>
      </c>
      <c r="C71" s="679"/>
      <c r="D71" s="679"/>
      <c r="E71" s="679"/>
      <c r="F71" s="680"/>
      <c r="G71" s="319">
        <v>0</v>
      </c>
      <c r="H71" s="210"/>
      <c r="I71" s="237"/>
      <c r="J71" s="210"/>
      <c r="K71" s="237"/>
    </row>
    <row r="72" spans="1:11" x14ac:dyDescent="0.2">
      <c r="A72" s="189"/>
      <c r="B72" s="596" t="s">
        <v>352</v>
      </c>
      <c r="C72" s="597"/>
      <c r="D72" s="597"/>
      <c r="E72" s="597"/>
      <c r="F72" s="633"/>
      <c r="G72" s="191">
        <f>SUM(G65:G70)</f>
        <v>387</v>
      </c>
      <c r="H72" s="211"/>
      <c r="I72" s="239">
        <f>SUM(I65:I70)</f>
        <v>473</v>
      </c>
      <c r="J72" s="211"/>
      <c r="K72" s="239">
        <f>SUM(K65:K70)</f>
        <v>548.15</v>
      </c>
    </row>
    <row r="73" spans="1:11" ht="17.25" customHeight="1" x14ac:dyDescent="0.2">
      <c r="A73" s="602" t="s">
        <v>1129</v>
      </c>
      <c r="B73" s="603"/>
      <c r="C73" s="603"/>
      <c r="D73" s="603"/>
      <c r="E73" s="603"/>
      <c r="F73" s="603"/>
      <c r="G73" s="603"/>
      <c r="H73" s="615"/>
      <c r="I73" s="616"/>
      <c r="J73" s="615"/>
      <c r="K73" s="616"/>
    </row>
    <row r="74" spans="1:11" ht="21.75" customHeight="1" x14ac:dyDescent="0.2">
      <c r="A74" s="602" t="s">
        <v>1130</v>
      </c>
      <c r="B74" s="603"/>
      <c r="C74" s="603"/>
      <c r="D74" s="603"/>
      <c r="E74" s="603"/>
      <c r="F74" s="603"/>
      <c r="G74" s="603"/>
      <c r="H74" s="615"/>
      <c r="I74" s="616"/>
      <c r="J74" s="615"/>
      <c r="K74" s="616"/>
    </row>
    <row r="75" spans="1:11" x14ac:dyDescent="0.2">
      <c r="A75" s="201"/>
      <c r="B75" s="202"/>
      <c r="C75" s="202"/>
      <c r="D75" s="202"/>
      <c r="E75" s="202"/>
      <c r="F75" s="207"/>
      <c r="G75" s="202"/>
      <c r="H75" s="615"/>
      <c r="I75" s="616"/>
      <c r="J75" s="615"/>
      <c r="K75" s="616"/>
    </row>
    <row r="76" spans="1:11" x14ac:dyDescent="0.2">
      <c r="A76" s="192"/>
      <c r="B76" s="596" t="s">
        <v>892</v>
      </c>
      <c r="C76" s="597"/>
      <c r="D76" s="597"/>
      <c r="E76" s="597"/>
      <c r="F76" s="597"/>
      <c r="G76" s="194"/>
      <c r="H76" s="608"/>
      <c r="I76" s="609"/>
      <c r="J76" s="608"/>
      <c r="K76" s="609"/>
    </row>
    <row r="77" spans="1:11" x14ac:dyDescent="0.2">
      <c r="A77" s="172">
        <v>2</v>
      </c>
      <c r="B77" s="672" t="s">
        <v>571</v>
      </c>
      <c r="C77" s="672"/>
      <c r="D77" s="672"/>
      <c r="E77" s="672"/>
      <c r="F77" s="672"/>
      <c r="G77" s="184" t="s">
        <v>331</v>
      </c>
      <c r="H77" s="178"/>
      <c r="I77" s="234" t="s">
        <v>331</v>
      </c>
      <c r="J77" s="512"/>
      <c r="K77" s="234" t="s">
        <v>331</v>
      </c>
    </row>
    <row r="78" spans="1:11" x14ac:dyDescent="0.2">
      <c r="A78" s="172" t="s">
        <v>557</v>
      </c>
      <c r="B78" s="663" t="s">
        <v>572</v>
      </c>
      <c r="C78" s="663"/>
      <c r="D78" s="663"/>
      <c r="E78" s="663"/>
      <c r="F78" s="663"/>
      <c r="G78" s="188">
        <f>G43</f>
        <v>1548.0333166666667</v>
      </c>
      <c r="H78" s="210"/>
      <c r="I78" s="237">
        <f>I43</f>
        <v>1578.9939829999998</v>
      </c>
      <c r="J78" s="210"/>
      <c r="K78" s="237">
        <f>K43</f>
        <v>1648.8124333333333</v>
      </c>
    </row>
    <row r="79" spans="1:11" x14ac:dyDescent="0.2">
      <c r="A79" s="172" t="s">
        <v>561</v>
      </c>
      <c r="B79" s="663" t="s">
        <v>562</v>
      </c>
      <c r="C79" s="663"/>
      <c r="D79" s="663"/>
      <c r="E79" s="663"/>
      <c r="F79" s="663"/>
      <c r="G79" s="188">
        <f>G58</f>
        <v>1620.0882278116669</v>
      </c>
      <c r="H79" s="210"/>
      <c r="I79" s="237">
        <f>I58</f>
        <v>1649.5017645335997</v>
      </c>
      <c r="J79" s="210"/>
      <c r="K79" s="237">
        <f>K58</f>
        <v>1722.4378607200001</v>
      </c>
    </row>
    <row r="80" spans="1:11" x14ac:dyDescent="0.2">
      <c r="A80" s="172" t="s">
        <v>568</v>
      </c>
      <c r="B80" s="663" t="s">
        <v>569</v>
      </c>
      <c r="C80" s="663"/>
      <c r="D80" s="663"/>
      <c r="E80" s="663"/>
      <c r="F80" s="663"/>
      <c r="G80" s="188">
        <f>G72</f>
        <v>387</v>
      </c>
      <c r="H80" s="210"/>
      <c r="I80" s="237">
        <f>I72</f>
        <v>473</v>
      </c>
      <c r="J80" s="210"/>
      <c r="K80" s="237">
        <f>K72</f>
        <v>548.15</v>
      </c>
    </row>
    <row r="81" spans="1:14" x14ac:dyDescent="0.2">
      <c r="A81" s="212"/>
      <c r="B81" s="630" t="s">
        <v>352</v>
      </c>
      <c r="C81" s="631"/>
      <c r="D81" s="631"/>
      <c r="E81" s="631"/>
      <c r="F81" s="632"/>
      <c r="G81" s="191">
        <f>SUM(G78:G80)</f>
        <v>3555.1215444783338</v>
      </c>
      <c r="H81" s="211"/>
      <c r="I81" s="239">
        <f>SUM(I78:I80)</f>
        <v>3701.4957475335996</v>
      </c>
      <c r="J81" s="211"/>
      <c r="K81" s="239">
        <f>SUM(K78:K80)</f>
        <v>3919.4002940533333</v>
      </c>
    </row>
    <row r="82" spans="1:14" x14ac:dyDescent="0.2">
      <c r="A82" s="622"/>
      <c r="B82" s="623"/>
      <c r="C82" s="623"/>
      <c r="D82" s="623"/>
      <c r="E82" s="623"/>
      <c r="F82" s="623"/>
      <c r="G82" s="623"/>
      <c r="H82" s="617"/>
      <c r="I82" s="618"/>
      <c r="J82" s="617"/>
      <c r="K82" s="618"/>
    </row>
    <row r="83" spans="1:14" x14ac:dyDescent="0.2">
      <c r="A83" s="192"/>
      <c r="B83" s="596" t="s">
        <v>885</v>
      </c>
      <c r="C83" s="597"/>
      <c r="D83" s="597"/>
      <c r="E83" s="633"/>
      <c r="F83" s="596"/>
      <c r="G83" s="614"/>
      <c r="H83" s="608"/>
      <c r="I83" s="609"/>
      <c r="J83" s="608"/>
      <c r="K83" s="609"/>
    </row>
    <row r="84" spans="1:14" ht="25.5" x14ac:dyDescent="0.2">
      <c r="A84" s="172">
        <v>3</v>
      </c>
      <c r="B84" s="624" t="s">
        <v>348</v>
      </c>
      <c r="C84" s="625"/>
      <c r="D84" s="625"/>
      <c r="E84" s="626"/>
      <c r="F84" s="203" t="s">
        <v>563</v>
      </c>
      <c r="G84" s="184" t="s">
        <v>331</v>
      </c>
      <c r="H84" s="240" t="s">
        <v>563</v>
      </c>
      <c r="I84" s="234" t="s">
        <v>331</v>
      </c>
      <c r="J84" s="240" t="s">
        <v>563</v>
      </c>
      <c r="K84" s="234" t="s">
        <v>331</v>
      </c>
    </row>
    <row r="85" spans="1:14" ht="27" customHeight="1" x14ac:dyDescent="0.2">
      <c r="A85" s="184" t="s">
        <v>316</v>
      </c>
      <c r="B85" s="627" t="s">
        <v>1131</v>
      </c>
      <c r="C85" s="628"/>
      <c r="D85" s="628"/>
      <c r="E85" s="629"/>
      <c r="F85" s="262">
        <v>4.1700000000000001E-3</v>
      </c>
      <c r="G85" s="188">
        <f>F85*(G35+G43)</f>
        <v>39.667263930499999</v>
      </c>
      <c r="H85" s="246">
        <v>4.1700000000000001E-3</v>
      </c>
      <c r="I85" s="237">
        <f>H85*(I35+I43)</f>
        <v>40.460609209109997</v>
      </c>
      <c r="J85" s="246">
        <v>4.1700000000000001E-3</v>
      </c>
      <c r="K85" s="237">
        <f>J85*(K35+K43)</f>
        <v>42.249657846999995</v>
      </c>
    </row>
    <row r="86" spans="1:14" ht="15.75" customHeight="1" x14ac:dyDescent="0.2">
      <c r="A86" s="184" t="s">
        <v>318</v>
      </c>
      <c r="B86" s="627" t="s">
        <v>1007</v>
      </c>
      <c r="C86" s="628"/>
      <c r="D86" s="628"/>
      <c r="E86" s="629"/>
      <c r="F86" s="262">
        <f>F57*F85</f>
        <v>3.3360000000000003E-4</v>
      </c>
      <c r="G86" s="188">
        <f>F86*(G35+G43)</f>
        <v>3.1733811144400002</v>
      </c>
      <c r="H86" s="246">
        <f>H57*H85</f>
        <v>3.3360000000000003E-4</v>
      </c>
      <c r="I86" s="237">
        <f>H86*(I35+I43)</f>
        <v>3.2368487367287999</v>
      </c>
      <c r="J86" s="246">
        <f>J57*J85</f>
        <v>3.3360000000000003E-4</v>
      </c>
      <c r="K86" s="237">
        <f>J86*(K35+K43)</f>
        <v>3.37997262776</v>
      </c>
    </row>
    <row r="87" spans="1:14" ht="37.5" customHeight="1" x14ac:dyDescent="0.2">
      <c r="A87" s="172" t="s">
        <v>321</v>
      </c>
      <c r="B87" s="627" t="s">
        <v>1132</v>
      </c>
      <c r="C87" s="628"/>
      <c r="D87" s="628"/>
      <c r="E87" s="629"/>
      <c r="F87" s="262">
        <f xml:space="preserve"> (40%+10%)*F85</f>
        <v>2.085E-3</v>
      </c>
      <c r="G87" s="188">
        <f>F87*(G35+G43)</f>
        <v>19.833631965249999</v>
      </c>
      <c r="H87" s="246">
        <f xml:space="preserve"> (40%+10%)*H85</f>
        <v>2.085E-3</v>
      </c>
      <c r="I87" s="237">
        <f>H87*(I35+I43)</f>
        <v>20.230304604554998</v>
      </c>
      <c r="J87" s="246">
        <f xml:space="preserve"> (40%+10%)*J85</f>
        <v>2.085E-3</v>
      </c>
      <c r="K87" s="237">
        <f>J87*(K35+K43)</f>
        <v>21.124828923499997</v>
      </c>
    </row>
    <row r="88" spans="1:14" ht="24.75" customHeight="1" x14ac:dyDescent="0.2">
      <c r="A88" s="172" t="s">
        <v>322</v>
      </c>
      <c r="B88" s="627" t="s">
        <v>1133</v>
      </c>
      <c r="C88" s="628"/>
      <c r="D88" s="628"/>
      <c r="E88" s="629"/>
      <c r="F88" s="262">
        <f>(7/30)/12</f>
        <v>1.9444444444444445E-2</v>
      </c>
      <c r="G88" s="188">
        <f>F88*(G35+G43)</f>
        <v>184.96592560185184</v>
      </c>
      <c r="H88" s="246">
        <f>(7/30)/12</f>
        <v>1.9444444444444445E-2</v>
      </c>
      <c r="I88" s="237">
        <f>H88*(I35+I43)</f>
        <v>188.66524411388889</v>
      </c>
      <c r="J88" s="246">
        <f>(7/30)/12</f>
        <v>1.9444444444444445E-2</v>
      </c>
      <c r="K88" s="237">
        <f>J88*(K35+K43)</f>
        <v>197.00746398148146</v>
      </c>
    </row>
    <row r="89" spans="1:14" ht="15" customHeight="1" x14ac:dyDescent="0.2">
      <c r="A89" s="173" t="s">
        <v>333</v>
      </c>
      <c r="B89" s="627" t="s">
        <v>1044</v>
      </c>
      <c r="C89" s="628"/>
      <c r="D89" s="628"/>
      <c r="E89" s="629"/>
      <c r="F89" s="262">
        <f>F58*F88</f>
        <v>3.2258333333333332E-3</v>
      </c>
      <c r="G89" s="188">
        <f>F89*(G35+G43)</f>
        <v>30.685847057347218</v>
      </c>
      <c r="H89" s="246">
        <f>H58*H88</f>
        <v>3.2200000000000002E-3</v>
      </c>
      <c r="I89" s="237">
        <f>H89*(I35+I43)</f>
        <v>31.242964425259999</v>
      </c>
      <c r="J89" s="246">
        <f>J58*J88</f>
        <v>3.2200000000000002E-3</v>
      </c>
      <c r="K89" s="237">
        <f>J89*(K35+K43)</f>
        <v>32.624436035333332</v>
      </c>
    </row>
    <row r="90" spans="1:14" ht="15.75" customHeight="1" x14ac:dyDescent="0.2">
      <c r="A90" s="172" t="s">
        <v>334</v>
      </c>
      <c r="B90" s="619" t="s">
        <v>1008</v>
      </c>
      <c r="C90" s="620"/>
      <c r="D90" s="620"/>
      <c r="E90" s="621"/>
      <c r="F90" s="500">
        <f>50%*F88</f>
        <v>9.7222222222222224E-3</v>
      </c>
      <c r="G90" s="501">
        <f>F90*(G35+G43)</f>
        <v>92.482962800925918</v>
      </c>
      <c r="H90" s="502">
        <f>50%*H88</f>
        <v>9.7222222222222224E-3</v>
      </c>
      <c r="I90" s="503">
        <f>H90*(I35+I43)</f>
        <v>94.332622056944444</v>
      </c>
      <c r="J90" s="502">
        <f>50%*J88</f>
        <v>9.7222222222222224E-3</v>
      </c>
      <c r="K90" s="503">
        <f>J90*(K35+K43)</f>
        <v>98.503731990740732</v>
      </c>
      <c r="L90" s="497"/>
    </row>
    <row r="91" spans="1:14" x14ac:dyDescent="0.2">
      <c r="A91" s="192"/>
      <c r="B91" s="596" t="s">
        <v>352</v>
      </c>
      <c r="C91" s="597"/>
      <c r="D91" s="597"/>
      <c r="E91" s="633"/>
      <c r="F91" s="213">
        <f t="shared" ref="F91:K91" si="6">SUM(F85:F90)</f>
        <v>3.8981100000000005E-2</v>
      </c>
      <c r="G91" s="191">
        <f t="shared" si="6"/>
        <v>370.80901247031494</v>
      </c>
      <c r="H91" s="247">
        <f t="shared" si="6"/>
        <v>3.8975266666666668E-2</v>
      </c>
      <c r="I91" s="239">
        <f t="shared" si="6"/>
        <v>378.16859314648713</v>
      </c>
      <c r="J91" s="247">
        <f t="shared" si="6"/>
        <v>3.8975266666666668E-2</v>
      </c>
      <c r="K91" s="239">
        <f t="shared" si="6"/>
        <v>394.89009140581555</v>
      </c>
      <c r="L91" s="498"/>
      <c r="N91" s="302"/>
    </row>
    <row r="92" spans="1:14" x14ac:dyDescent="0.2">
      <c r="A92" s="214"/>
      <c r="B92" s="215"/>
      <c r="C92" s="215"/>
      <c r="D92" s="215"/>
      <c r="E92" s="215"/>
      <c r="F92" s="215"/>
      <c r="G92" s="215"/>
      <c r="H92" s="615"/>
      <c r="I92" s="616"/>
      <c r="J92" s="615"/>
      <c r="K92" s="616"/>
      <c r="L92" s="498"/>
    </row>
    <row r="93" spans="1:14" x14ac:dyDescent="0.2">
      <c r="A93" s="192"/>
      <c r="B93" s="596" t="s">
        <v>886</v>
      </c>
      <c r="C93" s="597"/>
      <c r="D93" s="597"/>
      <c r="E93" s="597"/>
      <c r="F93" s="596"/>
      <c r="G93" s="614"/>
      <c r="H93" s="610"/>
      <c r="I93" s="611"/>
      <c r="J93" s="610"/>
      <c r="K93" s="611"/>
      <c r="L93" s="499"/>
    </row>
    <row r="94" spans="1:14" ht="24" customHeight="1" x14ac:dyDescent="0.2">
      <c r="A94" s="674" t="s">
        <v>1134</v>
      </c>
      <c r="B94" s="603"/>
      <c r="C94" s="603"/>
      <c r="D94" s="603"/>
      <c r="E94" s="603"/>
      <c r="F94" s="603"/>
      <c r="G94" s="603"/>
      <c r="H94" s="175"/>
      <c r="I94" s="176"/>
      <c r="J94" s="175"/>
      <c r="K94" s="176"/>
    </row>
    <row r="95" spans="1:14" x14ac:dyDescent="0.2">
      <c r="A95" s="600"/>
      <c r="B95" s="601"/>
      <c r="C95" s="601"/>
      <c r="D95" s="601"/>
      <c r="E95" s="601"/>
      <c r="F95" s="601"/>
      <c r="G95" s="601"/>
      <c r="H95" s="178"/>
      <c r="I95" s="179"/>
      <c r="J95" s="512"/>
      <c r="K95" s="179"/>
    </row>
    <row r="96" spans="1:14" x14ac:dyDescent="0.2">
      <c r="A96" s="598" t="s">
        <v>905</v>
      </c>
      <c r="B96" s="599"/>
      <c r="C96" s="599"/>
      <c r="D96" s="599"/>
      <c r="E96" s="599"/>
      <c r="F96" s="599"/>
      <c r="G96" s="599"/>
      <c r="H96" s="175"/>
      <c r="I96" s="206"/>
      <c r="J96" s="175"/>
      <c r="K96" s="206"/>
    </row>
    <row r="97" spans="1:11" ht="25.5" x14ac:dyDescent="0.2">
      <c r="A97" s="184" t="s">
        <v>340</v>
      </c>
      <c r="B97" s="624" t="s">
        <v>906</v>
      </c>
      <c r="C97" s="625"/>
      <c r="D97" s="625"/>
      <c r="E97" s="625"/>
      <c r="F97" s="203" t="s">
        <v>563</v>
      </c>
      <c r="G97" s="184" t="s">
        <v>331</v>
      </c>
      <c r="H97" s="240" t="s">
        <v>563</v>
      </c>
      <c r="I97" s="234" t="s">
        <v>331</v>
      </c>
      <c r="J97" s="240" t="s">
        <v>563</v>
      </c>
      <c r="K97" s="234" t="s">
        <v>331</v>
      </c>
    </row>
    <row r="98" spans="1:11" x14ac:dyDescent="0.2">
      <c r="A98" s="172" t="s">
        <v>316</v>
      </c>
      <c r="B98" s="627" t="s">
        <v>914</v>
      </c>
      <c r="C98" s="628"/>
      <c r="D98" s="628"/>
      <c r="E98" s="628"/>
      <c r="F98" s="203">
        <f>(8.33%+(8.33%*1/3))/12</f>
        <v>9.2555555555555551E-3</v>
      </c>
      <c r="G98" s="188">
        <f>F98*G35</f>
        <v>73.715872222222217</v>
      </c>
      <c r="H98" s="240">
        <f>(8.33%+(8.33%*1/3))/12</f>
        <v>9.2555555555555551E-3</v>
      </c>
      <c r="I98" s="237">
        <f>H98*I35</f>
        <v>75.190189666666669</v>
      </c>
      <c r="J98" s="240">
        <f>(8.33%+(8.33%*1/3))/12</f>
        <v>9.2555555555555551E-3</v>
      </c>
      <c r="K98" s="237">
        <f>J98*K35</f>
        <v>78.51487777777777</v>
      </c>
    </row>
    <row r="99" spans="1:11" x14ac:dyDescent="0.2">
      <c r="A99" s="172" t="s">
        <v>318</v>
      </c>
      <c r="B99" s="627" t="s">
        <v>980</v>
      </c>
      <c r="C99" s="628"/>
      <c r="D99" s="628"/>
      <c r="E99" s="628"/>
      <c r="F99" s="203">
        <f>(1/12)/30</f>
        <v>2.7777777777777775E-3</v>
      </c>
      <c r="G99" s="188">
        <f>F99*G35</f>
        <v>22.12361111111111</v>
      </c>
      <c r="H99" s="240">
        <f>(1/12)/30</f>
        <v>2.7777777777777775E-3</v>
      </c>
      <c r="I99" s="237">
        <f>H99*I35</f>
        <v>22.566083333333331</v>
      </c>
      <c r="J99" s="240">
        <f>(1/12)/30</f>
        <v>2.7777777777777775E-3</v>
      </c>
      <c r="K99" s="237">
        <f>J99*K35</f>
        <v>23.563888888888886</v>
      </c>
    </row>
    <row r="100" spans="1:11" x14ac:dyDescent="0.2">
      <c r="A100" s="172" t="s">
        <v>321</v>
      </c>
      <c r="B100" s="627" t="s">
        <v>981</v>
      </c>
      <c r="C100" s="628"/>
      <c r="D100" s="628"/>
      <c r="E100" s="628"/>
      <c r="F100" s="263">
        <f>1.5%/12</f>
        <v>1.25E-3</v>
      </c>
      <c r="G100" s="188">
        <f>F100*G35</f>
        <v>9.9556249999999995</v>
      </c>
      <c r="H100" s="246">
        <f>1.5%/12</f>
        <v>1.25E-3</v>
      </c>
      <c r="I100" s="237">
        <f>H100*I35</f>
        <v>10.1547375</v>
      </c>
      <c r="J100" s="246">
        <f>1.5%/12</f>
        <v>1.25E-3</v>
      </c>
      <c r="K100" s="237">
        <f>J100*K35</f>
        <v>10.60375</v>
      </c>
    </row>
    <row r="101" spans="1:11" ht="28.5" customHeight="1" x14ac:dyDescent="0.2">
      <c r="A101" s="172" t="s">
        <v>322</v>
      </c>
      <c r="B101" s="627" t="s">
        <v>982</v>
      </c>
      <c r="C101" s="628"/>
      <c r="D101" s="628"/>
      <c r="E101" s="628"/>
      <c r="F101" s="262">
        <f>8%/12/2</f>
        <v>3.3333333333333335E-3</v>
      </c>
      <c r="G101" s="188">
        <f>F101*G35</f>
        <v>26.548333333333336</v>
      </c>
      <c r="H101" s="246">
        <f>8%/12/2</f>
        <v>3.3333333333333335E-3</v>
      </c>
      <c r="I101" s="237">
        <f>H101*I35</f>
        <v>27.0793</v>
      </c>
      <c r="J101" s="246">
        <f>8%/12/2</f>
        <v>3.3333333333333335E-3</v>
      </c>
      <c r="K101" s="237">
        <f>J101*K35</f>
        <v>28.276666666666667</v>
      </c>
    </row>
    <row r="102" spans="1:11" ht="24.75" customHeight="1" x14ac:dyDescent="0.2">
      <c r="A102" s="172" t="s">
        <v>333</v>
      </c>
      <c r="B102" s="627" t="s">
        <v>983</v>
      </c>
      <c r="C102" s="628"/>
      <c r="D102" s="628"/>
      <c r="E102" s="628"/>
      <c r="F102" s="264">
        <f>1.5%/12</f>
        <v>1.25E-3</v>
      </c>
      <c r="G102" s="188">
        <f>F102*G35</f>
        <v>9.9556249999999995</v>
      </c>
      <c r="H102" s="248">
        <f>1.5%/12</f>
        <v>1.25E-3</v>
      </c>
      <c r="I102" s="237">
        <f>H102*I35</f>
        <v>10.1547375</v>
      </c>
      <c r="J102" s="248">
        <f>1.5%/12</f>
        <v>1.25E-3</v>
      </c>
      <c r="K102" s="237">
        <f>J102*K35</f>
        <v>10.60375</v>
      </c>
    </row>
    <row r="103" spans="1:11" x14ac:dyDescent="0.2">
      <c r="A103" s="172" t="s">
        <v>334</v>
      </c>
      <c r="B103" s="627" t="s">
        <v>907</v>
      </c>
      <c r="C103" s="628"/>
      <c r="D103" s="628"/>
      <c r="E103" s="628"/>
      <c r="F103" s="203">
        <f>(5/12)/30</f>
        <v>1.388888888888889E-2</v>
      </c>
      <c r="G103" s="188">
        <f>F103*G35</f>
        <v>110.61805555555556</v>
      </c>
      <c r="H103" s="240">
        <f>(5/12)/30</f>
        <v>1.388888888888889E-2</v>
      </c>
      <c r="I103" s="237">
        <f>H103*I35</f>
        <v>112.83041666666668</v>
      </c>
      <c r="J103" s="240">
        <f>(5/12)/30</f>
        <v>1.388888888888889E-2</v>
      </c>
      <c r="K103" s="237">
        <f>J103*K35</f>
        <v>117.81944444444446</v>
      </c>
    </row>
    <row r="104" spans="1:11" x14ac:dyDescent="0.2">
      <c r="A104" s="192"/>
      <c r="B104" s="596" t="s">
        <v>352</v>
      </c>
      <c r="C104" s="597"/>
      <c r="D104" s="597"/>
      <c r="E104" s="633"/>
      <c r="F104" s="199">
        <f t="shared" ref="F104:K104" si="7">SUM(F98:F103)</f>
        <v>3.1755555555555558E-2</v>
      </c>
      <c r="G104" s="191">
        <f t="shared" si="7"/>
        <v>252.91712222222225</v>
      </c>
      <c r="H104" s="243">
        <f t="shared" si="7"/>
        <v>3.1755555555555558E-2</v>
      </c>
      <c r="I104" s="239">
        <f t="shared" si="7"/>
        <v>257.97546466666665</v>
      </c>
      <c r="J104" s="243">
        <f t="shared" si="7"/>
        <v>3.1755555555555558E-2</v>
      </c>
      <c r="K104" s="239">
        <f t="shared" si="7"/>
        <v>269.38237777777778</v>
      </c>
    </row>
    <row r="105" spans="1:11" ht="23.25" customHeight="1" x14ac:dyDescent="0.2">
      <c r="A105" s="602" t="s">
        <v>1135</v>
      </c>
      <c r="B105" s="603"/>
      <c r="C105" s="603"/>
      <c r="D105" s="603"/>
      <c r="E105" s="603"/>
      <c r="F105" s="603"/>
      <c r="G105" s="603"/>
      <c r="H105" s="175"/>
      <c r="I105" s="176"/>
      <c r="J105" s="175"/>
      <c r="K105" s="176"/>
    </row>
    <row r="106" spans="1:11" x14ac:dyDescent="0.2">
      <c r="A106" s="624"/>
      <c r="B106" s="625"/>
      <c r="C106" s="625"/>
      <c r="D106" s="625"/>
      <c r="E106" s="625"/>
      <c r="F106" s="625"/>
      <c r="G106" s="625"/>
      <c r="H106" s="178"/>
      <c r="I106" s="185"/>
      <c r="J106" s="512"/>
      <c r="K106" s="513"/>
    </row>
    <row r="107" spans="1:11" x14ac:dyDescent="0.2">
      <c r="A107" s="598" t="s">
        <v>911</v>
      </c>
      <c r="B107" s="599"/>
      <c r="C107" s="599"/>
      <c r="D107" s="599"/>
      <c r="E107" s="599"/>
      <c r="F107" s="599"/>
      <c r="G107" s="599"/>
      <c r="H107" s="175"/>
      <c r="I107" s="206"/>
      <c r="J107" s="175"/>
      <c r="K107" s="206"/>
    </row>
    <row r="108" spans="1:11" ht="25.5" x14ac:dyDescent="0.2">
      <c r="A108" s="172" t="s">
        <v>347</v>
      </c>
      <c r="B108" s="624" t="s">
        <v>912</v>
      </c>
      <c r="C108" s="625"/>
      <c r="D108" s="625"/>
      <c r="E108" s="626"/>
      <c r="F108" s="203" t="s">
        <v>563</v>
      </c>
      <c r="G108" s="184" t="s">
        <v>331</v>
      </c>
      <c r="H108" s="240" t="s">
        <v>563</v>
      </c>
      <c r="I108" s="234" t="s">
        <v>331</v>
      </c>
      <c r="J108" s="240" t="s">
        <v>563</v>
      </c>
      <c r="K108" s="234" t="s">
        <v>331</v>
      </c>
    </row>
    <row r="109" spans="1:11" x14ac:dyDescent="0.2">
      <c r="A109" s="172" t="s">
        <v>316</v>
      </c>
      <c r="B109" s="627" t="s">
        <v>913</v>
      </c>
      <c r="C109" s="628"/>
      <c r="D109" s="628"/>
      <c r="E109" s="629"/>
      <c r="F109" s="249" t="s">
        <v>1018</v>
      </c>
      <c r="G109" s="186" t="s">
        <v>1018</v>
      </c>
      <c r="H109" s="374" t="s">
        <v>1018</v>
      </c>
      <c r="I109" s="375" t="s">
        <v>1018</v>
      </c>
      <c r="J109" s="374" t="s">
        <v>1018</v>
      </c>
      <c r="K109" s="375" t="s">
        <v>1018</v>
      </c>
    </row>
    <row r="110" spans="1:11" x14ac:dyDescent="0.2">
      <c r="A110" s="192"/>
      <c r="B110" s="596" t="s">
        <v>352</v>
      </c>
      <c r="C110" s="597"/>
      <c r="D110" s="597"/>
      <c r="E110" s="633"/>
      <c r="F110" s="265"/>
      <c r="G110" s="217"/>
      <c r="H110" s="218"/>
      <c r="I110" s="219"/>
      <c r="J110" s="218"/>
      <c r="K110" s="219"/>
    </row>
    <row r="111" spans="1:11" ht="24" customHeight="1" x14ac:dyDescent="0.2">
      <c r="A111" s="602" t="s">
        <v>1136</v>
      </c>
      <c r="B111" s="603"/>
      <c r="C111" s="603"/>
      <c r="D111" s="603"/>
      <c r="E111" s="603"/>
      <c r="F111" s="603"/>
      <c r="G111" s="603"/>
      <c r="H111" s="175"/>
      <c r="I111" s="176"/>
      <c r="J111" s="175"/>
      <c r="K111" s="176"/>
    </row>
    <row r="112" spans="1:11" x14ac:dyDescent="0.2">
      <c r="A112" s="600"/>
      <c r="B112" s="601"/>
      <c r="C112" s="601"/>
      <c r="D112" s="601"/>
      <c r="E112" s="601"/>
      <c r="F112" s="601"/>
      <c r="G112" s="601"/>
      <c r="H112" s="178"/>
      <c r="I112" s="179"/>
      <c r="J112" s="512"/>
      <c r="K112" s="179"/>
    </row>
    <row r="113" spans="1:11" x14ac:dyDescent="0.2">
      <c r="A113" s="192"/>
      <c r="B113" s="596" t="s">
        <v>887</v>
      </c>
      <c r="C113" s="597"/>
      <c r="D113" s="597"/>
      <c r="E113" s="597"/>
      <c r="F113" s="597"/>
      <c r="G113" s="194"/>
      <c r="H113" s="608"/>
      <c r="I113" s="609"/>
      <c r="J113" s="608"/>
      <c r="K113" s="609"/>
    </row>
    <row r="114" spans="1:11" ht="25.5" x14ac:dyDescent="0.2">
      <c r="A114" s="172">
        <v>4</v>
      </c>
      <c r="B114" s="672" t="s">
        <v>574</v>
      </c>
      <c r="C114" s="672"/>
      <c r="D114" s="672"/>
      <c r="E114" s="672"/>
      <c r="F114" s="203" t="s">
        <v>563</v>
      </c>
      <c r="G114" s="184" t="s">
        <v>331</v>
      </c>
      <c r="H114" s="240" t="s">
        <v>563</v>
      </c>
      <c r="I114" s="234" t="s">
        <v>331</v>
      </c>
      <c r="J114" s="240" t="s">
        <v>563</v>
      </c>
      <c r="K114" s="234" t="s">
        <v>331</v>
      </c>
    </row>
    <row r="115" spans="1:11" x14ac:dyDescent="0.2">
      <c r="A115" s="172" t="s">
        <v>340</v>
      </c>
      <c r="B115" s="663" t="s">
        <v>908</v>
      </c>
      <c r="C115" s="663"/>
      <c r="D115" s="663"/>
      <c r="E115" s="663"/>
      <c r="F115" s="203">
        <f t="shared" ref="F115:K115" si="8">F104</f>
        <v>3.1755555555555558E-2</v>
      </c>
      <c r="G115" s="204">
        <f t="shared" si="8"/>
        <v>252.91712222222225</v>
      </c>
      <c r="H115" s="240">
        <f t="shared" si="8"/>
        <v>3.1755555555555558E-2</v>
      </c>
      <c r="I115" s="244">
        <f t="shared" si="8"/>
        <v>257.97546466666665</v>
      </c>
      <c r="J115" s="240">
        <f t="shared" si="8"/>
        <v>3.1755555555555558E-2</v>
      </c>
      <c r="K115" s="244">
        <f t="shared" si="8"/>
        <v>269.38237777777778</v>
      </c>
    </row>
    <row r="116" spans="1:11" x14ac:dyDescent="0.2">
      <c r="A116" s="172" t="s">
        <v>347</v>
      </c>
      <c r="B116" s="663" t="s">
        <v>912</v>
      </c>
      <c r="C116" s="663"/>
      <c r="D116" s="663"/>
      <c r="E116" s="663"/>
      <c r="F116" s="203"/>
      <c r="G116" s="221" t="s">
        <v>1018</v>
      </c>
      <c r="H116" s="376" t="s">
        <v>1018</v>
      </c>
      <c r="I116" s="377" t="s">
        <v>1018</v>
      </c>
      <c r="J116" s="376" t="s">
        <v>1018</v>
      </c>
      <c r="K116" s="377" t="s">
        <v>1018</v>
      </c>
    </row>
    <row r="117" spans="1:11" x14ac:dyDescent="0.2">
      <c r="A117" s="192"/>
      <c r="B117" s="596" t="s">
        <v>352</v>
      </c>
      <c r="C117" s="597"/>
      <c r="D117" s="597"/>
      <c r="E117" s="633"/>
      <c r="F117" s="199"/>
      <c r="G117" s="191">
        <f>SUM(G115:G116)</f>
        <v>252.91712222222225</v>
      </c>
      <c r="H117" s="200"/>
      <c r="I117" s="239">
        <f>SUM(I115:I116)</f>
        <v>257.97546466666665</v>
      </c>
      <c r="J117" s="200"/>
      <c r="K117" s="239">
        <f>SUM(K115:K116)</f>
        <v>269.38237777777778</v>
      </c>
    </row>
    <row r="118" spans="1:11" x14ac:dyDescent="0.2">
      <c r="A118" s="184"/>
      <c r="B118" s="209"/>
      <c r="C118" s="209"/>
      <c r="D118" s="209"/>
      <c r="E118" s="209"/>
      <c r="F118" s="208"/>
      <c r="G118" s="220"/>
      <c r="H118" s="196"/>
      <c r="I118" s="187"/>
      <c r="J118" s="196"/>
      <c r="K118" s="187"/>
    </row>
    <row r="119" spans="1:11" x14ac:dyDescent="0.2">
      <c r="A119" s="192"/>
      <c r="B119" s="596" t="s">
        <v>888</v>
      </c>
      <c r="C119" s="597"/>
      <c r="D119" s="597"/>
      <c r="E119" s="597"/>
      <c r="F119" s="597"/>
      <c r="G119" s="194"/>
      <c r="H119" s="182"/>
      <c r="I119" s="195"/>
      <c r="J119" s="182"/>
      <c r="K119" s="195"/>
    </row>
    <row r="120" spans="1:11" x14ac:dyDescent="0.2">
      <c r="A120" s="172">
        <v>5</v>
      </c>
      <c r="B120" s="598" t="s">
        <v>338</v>
      </c>
      <c r="C120" s="599"/>
      <c r="D120" s="599"/>
      <c r="E120" s="599"/>
      <c r="F120" s="675"/>
      <c r="G120" s="184" t="s">
        <v>331</v>
      </c>
      <c r="H120" s="178"/>
      <c r="I120" s="234" t="s">
        <v>331</v>
      </c>
      <c r="J120" s="512"/>
      <c r="K120" s="234" t="s">
        <v>331</v>
      </c>
    </row>
    <row r="121" spans="1:11" x14ac:dyDescent="0.2">
      <c r="A121" s="172" t="s">
        <v>316</v>
      </c>
      <c r="B121" s="627" t="s">
        <v>339</v>
      </c>
      <c r="C121" s="628"/>
      <c r="D121" s="628"/>
      <c r="E121" s="628"/>
      <c r="F121" s="629"/>
      <c r="G121" s="186" t="s">
        <v>1018</v>
      </c>
      <c r="H121" s="378" t="s">
        <v>1018</v>
      </c>
      <c r="I121" s="236" t="s">
        <v>1018</v>
      </c>
      <c r="J121" s="378" t="s">
        <v>1018</v>
      </c>
      <c r="K121" s="236" t="s">
        <v>1018</v>
      </c>
    </row>
    <row r="122" spans="1:11" x14ac:dyDescent="0.2">
      <c r="A122" s="172" t="s">
        <v>318</v>
      </c>
      <c r="B122" s="627" t="s">
        <v>583</v>
      </c>
      <c r="C122" s="628"/>
      <c r="D122" s="628"/>
      <c r="E122" s="628"/>
      <c r="F122" s="629"/>
      <c r="G122" s="186" t="s">
        <v>1018</v>
      </c>
      <c r="H122" s="378" t="s">
        <v>1018</v>
      </c>
      <c r="I122" s="236" t="s">
        <v>1018</v>
      </c>
      <c r="J122" s="378" t="s">
        <v>1018</v>
      </c>
      <c r="K122" s="236" t="s">
        <v>1018</v>
      </c>
    </row>
    <row r="123" spans="1:11" x14ac:dyDescent="0.2">
      <c r="A123" s="184" t="s">
        <v>321</v>
      </c>
      <c r="B123" s="627" t="s">
        <v>584</v>
      </c>
      <c r="C123" s="628"/>
      <c r="D123" s="628"/>
      <c r="E123" s="628"/>
      <c r="F123" s="629"/>
      <c r="G123" s="186">
        <f>'Ferramentas - Equipts'!F110</f>
        <v>44.99</v>
      </c>
      <c r="H123" s="378" t="s">
        <v>1018</v>
      </c>
      <c r="I123" s="236">
        <f>'Ferramentas - Equipts'!F110</f>
        <v>44.99</v>
      </c>
      <c r="J123" s="378" t="s">
        <v>1018</v>
      </c>
      <c r="K123" s="236">
        <f>'Ferramentas - Equipts'!F110</f>
        <v>44.99</v>
      </c>
    </row>
    <row r="124" spans="1:11" x14ac:dyDescent="0.2">
      <c r="A124" s="184" t="s">
        <v>322</v>
      </c>
      <c r="B124" s="627" t="s">
        <v>575</v>
      </c>
      <c r="C124" s="628"/>
      <c r="D124" s="628"/>
      <c r="E124" s="628"/>
      <c r="F124" s="629"/>
      <c r="G124" s="186" t="s">
        <v>1018</v>
      </c>
      <c r="H124" s="378" t="s">
        <v>1018</v>
      </c>
      <c r="I124" s="236" t="s">
        <v>1018</v>
      </c>
      <c r="J124" s="378" t="s">
        <v>1018</v>
      </c>
      <c r="K124" s="236" t="s">
        <v>1018</v>
      </c>
    </row>
    <row r="125" spans="1:11" x14ac:dyDescent="0.2">
      <c r="A125" s="192"/>
      <c r="B125" s="596" t="s">
        <v>352</v>
      </c>
      <c r="C125" s="597"/>
      <c r="D125" s="597"/>
      <c r="E125" s="597"/>
      <c r="F125" s="633"/>
      <c r="G125" s="191">
        <f>SUM(G121:G124)</f>
        <v>44.99</v>
      </c>
      <c r="H125" s="211"/>
      <c r="I125" s="239">
        <f>SUM(I121:I124)</f>
        <v>44.99</v>
      </c>
      <c r="J125" s="211"/>
      <c r="K125" s="239">
        <f>SUM(K121:K124)</f>
        <v>44.99</v>
      </c>
    </row>
    <row r="126" spans="1:11" x14ac:dyDescent="0.2">
      <c r="A126" s="664" t="s">
        <v>1045</v>
      </c>
      <c r="B126" s="665"/>
      <c r="C126" s="665"/>
      <c r="D126" s="665"/>
      <c r="E126" s="665"/>
      <c r="F126" s="665"/>
      <c r="G126" s="665"/>
      <c r="H126" s="175"/>
      <c r="I126" s="176"/>
      <c r="J126" s="175"/>
      <c r="K126" s="176"/>
    </row>
    <row r="127" spans="1:11" x14ac:dyDescent="0.2">
      <c r="A127" s="627"/>
      <c r="B127" s="628"/>
      <c r="C127" s="628"/>
      <c r="D127" s="628"/>
      <c r="E127" s="628"/>
      <c r="F127" s="628"/>
      <c r="G127" s="628"/>
      <c r="H127" s="175"/>
      <c r="I127" s="176"/>
      <c r="J127" s="175"/>
      <c r="K127" s="176"/>
    </row>
    <row r="128" spans="1:11" x14ac:dyDescent="0.2">
      <c r="A128" s="192"/>
      <c r="B128" s="596" t="s">
        <v>889</v>
      </c>
      <c r="C128" s="597"/>
      <c r="D128" s="597"/>
      <c r="E128" s="597"/>
      <c r="F128" s="597"/>
      <c r="G128" s="194"/>
      <c r="H128" s="608"/>
      <c r="I128" s="609"/>
      <c r="J128" s="608"/>
      <c r="K128" s="609"/>
    </row>
    <row r="129" spans="1:11" x14ac:dyDescent="0.2">
      <c r="A129" s="172">
        <v>6</v>
      </c>
      <c r="B129" s="672" t="s">
        <v>349</v>
      </c>
      <c r="C129" s="672"/>
      <c r="D129" s="672"/>
      <c r="E129" s="673" t="s">
        <v>563</v>
      </c>
      <c r="F129" s="673"/>
      <c r="G129" s="221" t="s">
        <v>331</v>
      </c>
      <c r="H129" s="378" t="s">
        <v>1018</v>
      </c>
      <c r="I129" s="250" t="s">
        <v>331</v>
      </c>
      <c r="J129" s="378" t="s">
        <v>1018</v>
      </c>
      <c r="K129" s="250" t="s">
        <v>331</v>
      </c>
    </row>
    <row r="130" spans="1:11" x14ac:dyDescent="0.2">
      <c r="A130" s="172" t="s">
        <v>316</v>
      </c>
      <c r="B130" s="663" t="s">
        <v>350</v>
      </c>
      <c r="C130" s="663"/>
      <c r="D130" s="663"/>
      <c r="E130" s="669">
        <f>ADM</f>
        <v>2.3199999999999998E-2</v>
      </c>
      <c r="F130" s="670"/>
      <c r="G130" s="186">
        <f>(G35+G81+G91+G117+G125)*E130</f>
        <v>282.76943415676425</v>
      </c>
      <c r="H130" s="378" t="s">
        <v>1018</v>
      </c>
      <c r="I130" s="236">
        <f>(I35+I81+I91+I117+I125)*E130</f>
        <v>290.1489394840446</v>
      </c>
      <c r="J130" s="378" t="s">
        <v>1018</v>
      </c>
      <c r="K130" s="236">
        <f>(K35+K81+K91+K117+K125)*E130</f>
        <v>304.19057610709672</v>
      </c>
    </row>
    <row r="131" spans="1:11" x14ac:dyDescent="0.2">
      <c r="A131" s="172" t="s">
        <v>318</v>
      </c>
      <c r="B131" s="663" t="s">
        <v>576</v>
      </c>
      <c r="C131" s="663"/>
      <c r="D131" s="663"/>
      <c r="E131" s="669">
        <f>LUCRO_ENGEMIL</f>
        <v>2.3300000000000001E-2</v>
      </c>
      <c r="F131" s="670"/>
      <c r="G131" s="186">
        <f>(G35+G81+G91+G117+G125+G130)*E131</f>
        <v>290.57679574053395</v>
      </c>
      <c r="H131" s="378" t="s">
        <v>1018</v>
      </c>
      <c r="I131" s="236">
        <f>(I35+I81+I91+I117+I125+I130)*E131</f>
        <v>298.16005175455757</v>
      </c>
      <c r="J131" s="378" t="s">
        <v>1018</v>
      </c>
      <c r="K131" s="236">
        <f>(K35+K81+K91+K117+K125+K130)*E131</f>
        <v>312.58938280671578</v>
      </c>
    </row>
    <row r="132" spans="1:11" x14ac:dyDescent="0.2">
      <c r="A132" s="172" t="s">
        <v>321</v>
      </c>
      <c r="B132" s="663" t="s">
        <v>351</v>
      </c>
      <c r="C132" s="663"/>
      <c r="D132" s="663"/>
      <c r="E132" s="669">
        <f>SUM(E133:F134)</f>
        <v>0.10150000000000001</v>
      </c>
      <c r="F132" s="670"/>
      <c r="G132" s="186" t="s">
        <v>1018</v>
      </c>
      <c r="H132" s="378" t="s">
        <v>1018</v>
      </c>
      <c r="I132" s="236" t="s">
        <v>1018</v>
      </c>
      <c r="J132" s="378" t="s">
        <v>1018</v>
      </c>
      <c r="K132" s="236" t="s">
        <v>1018</v>
      </c>
    </row>
    <row r="133" spans="1:11" ht="24.75" customHeight="1" x14ac:dyDescent="0.2">
      <c r="A133" s="216"/>
      <c r="B133" s="663" t="s">
        <v>1009</v>
      </c>
      <c r="C133" s="663"/>
      <c r="D133" s="663"/>
      <c r="E133" s="669">
        <v>8.1500000000000003E-2</v>
      </c>
      <c r="F133" s="670"/>
      <c r="G133" s="186">
        <f>E133*G147</f>
        <v>1157.5706606444699</v>
      </c>
      <c r="H133" s="378" t="s">
        <v>1018</v>
      </c>
      <c r="I133" s="236">
        <f>E133*I147</f>
        <v>1187.7800744815875</v>
      </c>
      <c r="J133" s="378" t="s">
        <v>1018</v>
      </c>
      <c r="K133" s="236">
        <f>E133*K147</f>
        <v>1245.2621946079971</v>
      </c>
    </row>
    <row r="134" spans="1:11" x14ac:dyDescent="0.2">
      <c r="A134" s="216"/>
      <c r="B134" s="663" t="s">
        <v>1010</v>
      </c>
      <c r="C134" s="663"/>
      <c r="D134" s="663"/>
      <c r="E134" s="669">
        <v>0.02</v>
      </c>
      <c r="F134" s="670"/>
      <c r="G134" s="186">
        <f>E134*G147</f>
        <v>284.06641979005394</v>
      </c>
      <c r="H134" s="378" t="s">
        <v>1018</v>
      </c>
      <c r="I134" s="236">
        <f>E134*I147</f>
        <v>291.47977287891717</v>
      </c>
      <c r="J134" s="378" t="s">
        <v>1018</v>
      </c>
      <c r="K134" s="236">
        <f>E134*K147</f>
        <v>305.58581462772935</v>
      </c>
    </row>
    <row r="135" spans="1:11" x14ac:dyDescent="0.2">
      <c r="A135" s="192"/>
      <c r="B135" s="596" t="s">
        <v>352</v>
      </c>
      <c r="C135" s="597"/>
      <c r="D135" s="633"/>
      <c r="E135" s="671">
        <f>E130+E131+E132</f>
        <v>0.14800000000000002</v>
      </c>
      <c r="F135" s="633"/>
      <c r="G135" s="222">
        <f>SUM(G130:G134)</f>
        <v>2014.9833103318219</v>
      </c>
      <c r="H135" s="211"/>
      <c r="I135" s="239">
        <f>SUM(I130:I134)</f>
        <v>2067.568838599107</v>
      </c>
      <c r="J135" s="211"/>
      <c r="K135" s="239">
        <f>SUM(K130:K134)</f>
        <v>2167.6279681495389</v>
      </c>
    </row>
    <row r="136" spans="1:11" x14ac:dyDescent="0.2">
      <c r="A136" s="602" t="s">
        <v>1137</v>
      </c>
      <c r="B136" s="603"/>
      <c r="C136" s="603"/>
      <c r="D136" s="603"/>
      <c r="E136" s="603"/>
      <c r="F136" s="603"/>
      <c r="G136" s="603"/>
      <c r="H136" s="606"/>
      <c r="I136" s="607"/>
      <c r="J136" s="606"/>
      <c r="K136" s="607"/>
    </row>
    <row r="137" spans="1:11" x14ac:dyDescent="0.2">
      <c r="A137" s="602" t="s">
        <v>1138</v>
      </c>
      <c r="B137" s="603"/>
      <c r="C137" s="603"/>
      <c r="D137" s="603"/>
      <c r="E137" s="603"/>
      <c r="F137" s="603"/>
      <c r="G137" s="603"/>
      <c r="H137" s="606"/>
      <c r="I137" s="607"/>
      <c r="J137" s="606"/>
      <c r="K137" s="607"/>
    </row>
    <row r="138" spans="1:11" x14ac:dyDescent="0.2">
      <c r="A138" s="192"/>
      <c r="B138" s="596" t="s">
        <v>577</v>
      </c>
      <c r="C138" s="597"/>
      <c r="D138" s="597"/>
      <c r="E138" s="597"/>
      <c r="F138" s="597"/>
      <c r="G138" s="194"/>
      <c r="H138" s="608"/>
      <c r="I138" s="609"/>
      <c r="J138" s="608"/>
      <c r="K138" s="609"/>
    </row>
    <row r="139" spans="1:11" x14ac:dyDescent="0.2">
      <c r="A139" s="223"/>
      <c r="B139" s="624" t="s">
        <v>353</v>
      </c>
      <c r="C139" s="625"/>
      <c r="D139" s="625"/>
      <c r="E139" s="625"/>
      <c r="F139" s="626"/>
      <c r="G139" s="184" t="s">
        <v>354</v>
      </c>
      <c r="H139" s="178"/>
      <c r="I139" s="234" t="s">
        <v>354</v>
      </c>
      <c r="J139" s="512"/>
      <c r="K139" s="234" t="s">
        <v>354</v>
      </c>
    </row>
    <row r="140" spans="1:11" x14ac:dyDescent="0.2">
      <c r="A140" s="172" t="s">
        <v>316</v>
      </c>
      <c r="B140" s="668" t="s">
        <v>1011</v>
      </c>
      <c r="C140" s="666"/>
      <c r="D140" s="666"/>
      <c r="E140" s="666"/>
      <c r="F140" s="667"/>
      <c r="G140" s="224">
        <f>G35</f>
        <v>7964.5</v>
      </c>
      <c r="H140" s="225"/>
      <c r="I140" s="251">
        <f>I35</f>
        <v>8123.79</v>
      </c>
      <c r="J140" s="225"/>
      <c r="K140" s="251">
        <f>K35</f>
        <v>8483</v>
      </c>
    </row>
    <row r="141" spans="1:11" x14ac:dyDescent="0.2">
      <c r="A141" s="172" t="s">
        <v>318</v>
      </c>
      <c r="B141" s="668" t="s">
        <v>1012</v>
      </c>
      <c r="C141" s="666"/>
      <c r="D141" s="666"/>
      <c r="E141" s="666"/>
      <c r="F141" s="667"/>
      <c r="G141" s="224">
        <f>G81</f>
        <v>3555.1215444783338</v>
      </c>
      <c r="H141" s="225"/>
      <c r="I141" s="251">
        <f>I81</f>
        <v>3701.4957475335996</v>
      </c>
      <c r="J141" s="225"/>
      <c r="K141" s="251">
        <f>K81</f>
        <v>3919.4002940533333</v>
      </c>
    </row>
    <row r="142" spans="1:11" x14ac:dyDescent="0.2">
      <c r="A142" s="172" t="s">
        <v>321</v>
      </c>
      <c r="B142" s="668" t="s">
        <v>1013</v>
      </c>
      <c r="C142" s="666"/>
      <c r="D142" s="666"/>
      <c r="E142" s="666"/>
      <c r="F142" s="667"/>
      <c r="G142" s="224">
        <f>G91</f>
        <v>370.80901247031494</v>
      </c>
      <c r="H142" s="225"/>
      <c r="I142" s="251">
        <f>I91</f>
        <v>378.16859314648713</v>
      </c>
      <c r="J142" s="225"/>
      <c r="K142" s="251">
        <f>K91</f>
        <v>394.89009140581555</v>
      </c>
    </row>
    <row r="143" spans="1:11" x14ac:dyDescent="0.2">
      <c r="A143" s="172" t="s">
        <v>322</v>
      </c>
      <c r="B143" s="668" t="s">
        <v>1014</v>
      </c>
      <c r="C143" s="666"/>
      <c r="D143" s="666"/>
      <c r="E143" s="666"/>
      <c r="F143" s="667"/>
      <c r="G143" s="224">
        <f>G117</f>
        <v>252.91712222222225</v>
      </c>
      <c r="H143" s="225"/>
      <c r="I143" s="251">
        <f>I117</f>
        <v>257.97546466666665</v>
      </c>
      <c r="J143" s="225"/>
      <c r="K143" s="251">
        <f>K117</f>
        <v>269.38237777777778</v>
      </c>
    </row>
    <row r="144" spans="1:11" x14ac:dyDescent="0.2">
      <c r="A144" s="172" t="s">
        <v>333</v>
      </c>
      <c r="B144" s="666" t="s">
        <v>1015</v>
      </c>
      <c r="C144" s="666"/>
      <c r="D144" s="666"/>
      <c r="E144" s="666"/>
      <c r="F144" s="667"/>
      <c r="G144" s="224">
        <f>G125</f>
        <v>44.99</v>
      </c>
      <c r="H144" s="225"/>
      <c r="I144" s="251">
        <f>I125</f>
        <v>44.99</v>
      </c>
      <c r="J144" s="225"/>
      <c r="K144" s="251">
        <f>K125</f>
        <v>44.99</v>
      </c>
    </row>
    <row r="145" spans="1:11" x14ac:dyDescent="0.2">
      <c r="A145" s="226"/>
      <c r="B145" s="702" t="s">
        <v>578</v>
      </c>
      <c r="C145" s="703"/>
      <c r="D145" s="703"/>
      <c r="E145" s="703"/>
      <c r="F145" s="704"/>
      <c r="G145" s="224">
        <f>SUM(G140:G144)</f>
        <v>12188.337679170872</v>
      </c>
      <c r="H145" s="225"/>
      <c r="I145" s="251">
        <f>SUM(I140:I144)</f>
        <v>12506.419805346752</v>
      </c>
      <c r="J145" s="225"/>
      <c r="K145" s="251">
        <f>SUM(K140:K144)</f>
        <v>13111.662763236927</v>
      </c>
    </row>
    <row r="146" spans="1:11" x14ac:dyDescent="0.2">
      <c r="A146" s="227" t="s">
        <v>334</v>
      </c>
      <c r="B146" s="668" t="s">
        <v>1016</v>
      </c>
      <c r="C146" s="666"/>
      <c r="D146" s="666"/>
      <c r="E146" s="666"/>
      <c r="F146" s="667"/>
      <c r="G146" s="224">
        <f>G135</f>
        <v>2014.9833103318219</v>
      </c>
      <c r="H146" s="225"/>
      <c r="I146" s="251">
        <f>I135</f>
        <v>2067.568838599107</v>
      </c>
      <c r="J146" s="225"/>
      <c r="K146" s="251">
        <f>K135</f>
        <v>2167.6279681495389</v>
      </c>
    </row>
    <row r="147" spans="1:11" ht="16.5" thickBot="1" x14ac:dyDescent="0.25">
      <c r="A147" s="228"/>
      <c r="B147" s="660" t="s">
        <v>355</v>
      </c>
      <c r="C147" s="661"/>
      <c r="D147" s="661"/>
      <c r="E147" s="661"/>
      <c r="F147" s="662"/>
      <c r="G147" s="229">
        <f>(G130+G131+G145)/(1-E132)</f>
        <v>14203.320989502696</v>
      </c>
      <c r="H147" s="230"/>
      <c r="I147" s="252">
        <f>(I130+I131+I145)/(1-E132)</f>
        <v>14573.988643945859</v>
      </c>
      <c r="J147" s="230"/>
      <c r="K147" s="252">
        <f>(K130+K131+K145)/(1-E132)</f>
        <v>15279.290731386467</v>
      </c>
    </row>
  </sheetData>
  <mergeCells count="248">
    <mergeCell ref="J83:K83"/>
    <mergeCell ref="J92:K92"/>
    <mergeCell ref="J93:K93"/>
    <mergeCell ref="J113:K113"/>
    <mergeCell ref="J128:K128"/>
    <mergeCell ref="J136:K136"/>
    <mergeCell ref="J137:K137"/>
    <mergeCell ref="J138:K138"/>
    <mergeCell ref="H2:K4"/>
    <mergeCell ref="J60:K60"/>
    <mergeCell ref="J61:K61"/>
    <mergeCell ref="J62:K62"/>
    <mergeCell ref="J63:K63"/>
    <mergeCell ref="J73:K73"/>
    <mergeCell ref="J74:K74"/>
    <mergeCell ref="J75:K75"/>
    <mergeCell ref="J76:K76"/>
    <mergeCell ref="J82:K82"/>
    <mergeCell ref="J37:K37"/>
    <mergeCell ref="J38:K38"/>
    <mergeCell ref="J39:K39"/>
    <mergeCell ref="J44:K44"/>
    <mergeCell ref="J45:K45"/>
    <mergeCell ref="J46:K46"/>
    <mergeCell ref="J47:K47"/>
    <mergeCell ref="J48:K48"/>
    <mergeCell ref="J59:K59"/>
    <mergeCell ref="J17:K18"/>
    <mergeCell ref="J19:K19"/>
    <mergeCell ref="J20:K21"/>
    <mergeCell ref="J22:K22"/>
    <mergeCell ref="J23:K23"/>
    <mergeCell ref="J24:K24"/>
    <mergeCell ref="J25:K25"/>
    <mergeCell ref="J26:K26"/>
    <mergeCell ref="J36:K36"/>
    <mergeCell ref="J5:K9"/>
    <mergeCell ref="J10:K10"/>
    <mergeCell ref="J11:K11"/>
    <mergeCell ref="J12:K12"/>
    <mergeCell ref="J13:K13"/>
    <mergeCell ref="J14:K14"/>
    <mergeCell ref="J15:K15"/>
    <mergeCell ref="J16:K16"/>
    <mergeCell ref="A2:G3"/>
    <mergeCell ref="H5:I9"/>
    <mergeCell ref="B145:F145"/>
    <mergeCell ref="A4:G4"/>
    <mergeCell ref="F24:G24"/>
    <mergeCell ref="B25:E25"/>
    <mergeCell ref="F25:G25"/>
    <mergeCell ref="B26:E26"/>
    <mergeCell ref="F26:G26"/>
    <mergeCell ref="A18:G18"/>
    <mergeCell ref="B11:E11"/>
    <mergeCell ref="F11:G11"/>
    <mergeCell ref="B12:E12"/>
    <mergeCell ref="F12:G12"/>
    <mergeCell ref="B13:E13"/>
    <mergeCell ref="F13:G13"/>
    <mergeCell ref="A15:D15"/>
    <mergeCell ref="F15:G15"/>
    <mergeCell ref="A37:G37"/>
    <mergeCell ref="A21:G21"/>
    <mergeCell ref="B22:E22"/>
    <mergeCell ref="F22:G22"/>
    <mergeCell ref="B23:E23"/>
    <mergeCell ref="F23:G23"/>
    <mergeCell ref="B24:E24"/>
    <mergeCell ref="B42:E42"/>
    <mergeCell ref="A5:G5"/>
    <mergeCell ref="A8:G8"/>
    <mergeCell ref="A9:G9"/>
    <mergeCell ref="B10:E10"/>
    <mergeCell ref="F10:G10"/>
    <mergeCell ref="A19:G19"/>
    <mergeCell ref="A20:G20"/>
    <mergeCell ref="A14:G14"/>
    <mergeCell ref="A17:G17"/>
    <mergeCell ref="A6:G6"/>
    <mergeCell ref="A16:D16"/>
    <mergeCell ref="F16:G16"/>
    <mergeCell ref="B49:E49"/>
    <mergeCell ref="B50:E50"/>
    <mergeCell ref="B51:E51"/>
    <mergeCell ref="B52:E52"/>
    <mergeCell ref="B54:E54"/>
    <mergeCell ref="B58:E58"/>
    <mergeCell ref="A46:G46"/>
    <mergeCell ref="B53:E53"/>
    <mergeCell ref="B27:E27"/>
    <mergeCell ref="B38:E38"/>
    <mergeCell ref="B41:E41"/>
    <mergeCell ref="B31:E31"/>
    <mergeCell ref="A39:G39"/>
    <mergeCell ref="B28:E28"/>
    <mergeCell ref="B29:E29"/>
    <mergeCell ref="B30:E30"/>
    <mergeCell ref="B32:E32"/>
    <mergeCell ref="B33:E33"/>
    <mergeCell ref="B34:E34"/>
    <mergeCell ref="B35:E35"/>
    <mergeCell ref="B40:E40"/>
    <mergeCell ref="A36:G36"/>
    <mergeCell ref="B113:F113"/>
    <mergeCell ref="B43:E43"/>
    <mergeCell ref="A73:G73"/>
    <mergeCell ref="A74:G74"/>
    <mergeCell ref="B77:F77"/>
    <mergeCell ref="B78:F78"/>
    <mergeCell ref="B79:F79"/>
    <mergeCell ref="B80:F80"/>
    <mergeCell ref="A63:G63"/>
    <mergeCell ref="B64:F64"/>
    <mergeCell ref="B65:F65"/>
    <mergeCell ref="B66:F66"/>
    <mergeCell ref="B67:F67"/>
    <mergeCell ref="B68:F68"/>
    <mergeCell ref="B69:F69"/>
    <mergeCell ref="B70:F70"/>
    <mergeCell ref="B72:F72"/>
    <mergeCell ref="B76:F76"/>
    <mergeCell ref="B71:F71"/>
    <mergeCell ref="B55:E55"/>
    <mergeCell ref="B56:E56"/>
    <mergeCell ref="B57:E57"/>
    <mergeCell ref="A45:G45"/>
    <mergeCell ref="A48:G48"/>
    <mergeCell ref="B99:E99"/>
    <mergeCell ref="B91:E91"/>
    <mergeCell ref="B93:E93"/>
    <mergeCell ref="B130:D130"/>
    <mergeCell ref="B132:D132"/>
    <mergeCell ref="E132:F132"/>
    <mergeCell ref="B120:F120"/>
    <mergeCell ref="B121:F121"/>
    <mergeCell ref="B122:F122"/>
    <mergeCell ref="B123:F123"/>
    <mergeCell ref="B124:F124"/>
    <mergeCell ref="B125:F125"/>
    <mergeCell ref="B117:E117"/>
    <mergeCell ref="B119:F119"/>
    <mergeCell ref="B128:F128"/>
    <mergeCell ref="B104:E104"/>
    <mergeCell ref="B100:E100"/>
    <mergeCell ref="B101:E101"/>
    <mergeCell ref="B102:E102"/>
    <mergeCell ref="B103:E103"/>
    <mergeCell ref="B110:E110"/>
    <mergeCell ref="E130:F130"/>
    <mergeCell ref="B131:D131"/>
    <mergeCell ref="E131:F131"/>
    <mergeCell ref="A1:G1"/>
    <mergeCell ref="A7:G7"/>
    <mergeCell ref="B135:D135"/>
    <mergeCell ref="B147:F147"/>
    <mergeCell ref="B116:E116"/>
    <mergeCell ref="A137:G137"/>
    <mergeCell ref="A136:G136"/>
    <mergeCell ref="A127:G127"/>
    <mergeCell ref="A126:G126"/>
    <mergeCell ref="B144:F144"/>
    <mergeCell ref="B146:F146"/>
    <mergeCell ref="B139:F139"/>
    <mergeCell ref="B140:F140"/>
    <mergeCell ref="B133:D133"/>
    <mergeCell ref="E133:F133"/>
    <mergeCell ref="B134:D134"/>
    <mergeCell ref="E134:F134"/>
    <mergeCell ref="E135:F135"/>
    <mergeCell ref="B141:F141"/>
    <mergeCell ref="B142:F142"/>
    <mergeCell ref="B143:F143"/>
    <mergeCell ref="B129:D129"/>
    <mergeCell ref="E129:F129"/>
    <mergeCell ref="A94:G94"/>
    <mergeCell ref="H20:I21"/>
    <mergeCell ref="H19:I19"/>
    <mergeCell ref="H25:I25"/>
    <mergeCell ref="H26:I26"/>
    <mergeCell ref="H10:I10"/>
    <mergeCell ref="H11:I11"/>
    <mergeCell ref="H12:I12"/>
    <mergeCell ref="H13:I13"/>
    <mergeCell ref="H15:I15"/>
    <mergeCell ref="H16:I16"/>
    <mergeCell ref="H22:I22"/>
    <mergeCell ref="H23:I23"/>
    <mergeCell ref="H24:I24"/>
    <mergeCell ref="H17:I18"/>
    <mergeCell ref="H14:I14"/>
    <mergeCell ref="H36:I36"/>
    <mergeCell ref="H37:I37"/>
    <mergeCell ref="H38:I38"/>
    <mergeCell ref="H44:I44"/>
    <mergeCell ref="H45:I45"/>
    <mergeCell ref="H46:I46"/>
    <mergeCell ref="H47:I47"/>
    <mergeCell ref="H48:I48"/>
    <mergeCell ref="H59:I59"/>
    <mergeCell ref="H39:I39"/>
    <mergeCell ref="H76:I76"/>
    <mergeCell ref="H83:I83"/>
    <mergeCell ref="F83:G83"/>
    <mergeCell ref="F93:G93"/>
    <mergeCell ref="H113:I113"/>
    <mergeCell ref="H128:I128"/>
    <mergeCell ref="H136:I136"/>
    <mergeCell ref="H60:I60"/>
    <mergeCell ref="H61:I61"/>
    <mergeCell ref="H62:I62"/>
    <mergeCell ref="H63:I63"/>
    <mergeCell ref="H73:I73"/>
    <mergeCell ref="H74:I74"/>
    <mergeCell ref="H75:I75"/>
    <mergeCell ref="H82:I82"/>
    <mergeCell ref="H92:I92"/>
    <mergeCell ref="A82:G82"/>
    <mergeCell ref="B84:E84"/>
    <mergeCell ref="B85:E85"/>
    <mergeCell ref="B86:E86"/>
    <mergeCell ref="B87:E87"/>
    <mergeCell ref="B88:E88"/>
    <mergeCell ref="B89:E89"/>
    <mergeCell ref="B138:F138"/>
    <mergeCell ref="A96:G96"/>
    <mergeCell ref="A95:G95"/>
    <mergeCell ref="A59:G59"/>
    <mergeCell ref="A60:G60"/>
    <mergeCell ref="A61:G61"/>
    <mergeCell ref="A44:G44"/>
    <mergeCell ref="H137:I137"/>
    <mergeCell ref="H138:I138"/>
    <mergeCell ref="H93:I93"/>
    <mergeCell ref="B90:E90"/>
    <mergeCell ref="B81:F81"/>
    <mergeCell ref="B83:E83"/>
    <mergeCell ref="A112:G112"/>
    <mergeCell ref="B114:E114"/>
    <mergeCell ref="B115:E115"/>
    <mergeCell ref="A105:G105"/>
    <mergeCell ref="A106:G106"/>
    <mergeCell ref="A107:G107"/>
    <mergeCell ref="B108:E108"/>
    <mergeCell ref="B109:E109"/>
    <mergeCell ref="A111:G111"/>
    <mergeCell ref="B97:E97"/>
    <mergeCell ref="B98:E98"/>
  </mergeCells>
  <printOptions horizontalCentered="1"/>
  <pageMargins left="0.53149606299212604" right="0.53149606299212604" top="1.1811023622047245" bottom="0.98425196850393704" header="0" footer="0"/>
  <pageSetup paperSize="9" scale="8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J147"/>
  <sheetViews>
    <sheetView view="pageBreakPreview" topLeftCell="A37" zoomScale="120" zoomScaleNormal="140" zoomScaleSheetLayoutView="120" workbookViewId="0">
      <selection activeCell="F52" sqref="F52"/>
    </sheetView>
  </sheetViews>
  <sheetFormatPr defaultRowHeight="12.75" x14ac:dyDescent="0.2"/>
  <cols>
    <col min="1" max="1" width="6.28515625" style="91" customWidth="1"/>
    <col min="2" max="2" width="9.140625" style="91"/>
    <col min="3" max="3" width="11.85546875" style="91" customWidth="1"/>
    <col min="4" max="4" width="21.7109375" style="91" customWidth="1"/>
    <col min="5" max="5" width="37.28515625" style="91" customWidth="1"/>
    <col min="6" max="6" width="10.85546875" style="144" bestFit="1" customWidth="1"/>
    <col min="7" max="7" width="15.7109375" style="91" customWidth="1"/>
    <col min="8" max="8" width="10.85546875" style="400" bestFit="1" customWidth="1"/>
    <col min="9" max="9" width="15.7109375" style="334" customWidth="1"/>
    <col min="10" max="16384" width="9.140625" style="91"/>
  </cols>
  <sheetData>
    <row r="1" spans="1:9" ht="12.75" customHeight="1" thickBot="1" x14ac:dyDescent="0.25">
      <c r="A1" s="826"/>
      <c r="B1" s="826"/>
      <c r="C1" s="826"/>
      <c r="D1" s="826"/>
      <c r="E1" s="826"/>
      <c r="F1" s="826"/>
      <c r="G1" s="826"/>
      <c r="H1" s="850"/>
      <c r="I1" s="850"/>
    </row>
    <row r="2" spans="1:9" ht="30.75" customHeight="1" x14ac:dyDescent="0.2">
      <c r="A2" s="827" t="s">
        <v>1017</v>
      </c>
      <c r="B2" s="828"/>
      <c r="C2" s="828"/>
      <c r="D2" s="828"/>
      <c r="E2" s="828"/>
      <c r="F2" s="828"/>
      <c r="G2" s="828"/>
      <c r="H2" s="739" t="s">
        <v>1004</v>
      </c>
      <c r="I2" s="741"/>
    </row>
    <row r="3" spans="1:9" ht="35.25" customHeight="1" thickBot="1" x14ac:dyDescent="0.25">
      <c r="A3" s="829"/>
      <c r="B3" s="830"/>
      <c r="C3" s="830"/>
      <c r="D3" s="830"/>
      <c r="E3" s="830"/>
      <c r="F3" s="830"/>
      <c r="G3" s="830"/>
      <c r="H3" s="742"/>
      <c r="I3" s="744"/>
    </row>
    <row r="4" spans="1:9" ht="53.25" customHeight="1" x14ac:dyDescent="0.2">
      <c r="A4" s="872" t="s">
        <v>579</v>
      </c>
      <c r="B4" s="872"/>
      <c r="C4" s="872"/>
      <c r="D4" s="872"/>
      <c r="E4" s="872"/>
      <c r="F4" s="872"/>
      <c r="G4" s="873"/>
      <c r="H4" s="748"/>
      <c r="I4" s="749"/>
    </row>
    <row r="5" spans="1:9" ht="12.75" customHeight="1" x14ac:dyDescent="0.2">
      <c r="A5" s="785" t="s">
        <v>927</v>
      </c>
      <c r="B5" s="786"/>
      <c r="C5" s="786"/>
      <c r="D5" s="786"/>
      <c r="E5" s="786"/>
      <c r="F5" s="786"/>
      <c r="G5" s="786"/>
      <c r="H5" s="796" t="s">
        <v>1141</v>
      </c>
      <c r="I5" s="797"/>
    </row>
    <row r="6" spans="1:9" x14ac:dyDescent="0.2">
      <c r="A6" s="785" t="s">
        <v>928</v>
      </c>
      <c r="B6" s="786"/>
      <c r="C6" s="786"/>
      <c r="D6" s="786"/>
      <c r="E6" s="786"/>
      <c r="F6" s="786"/>
      <c r="G6" s="786"/>
      <c r="H6" s="796"/>
      <c r="I6" s="797"/>
    </row>
    <row r="7" spans="1:9" ht="12.75" customHeight="1" x14ac:dyDescent="0.2">
      <c r="A7" s="785" t="s">
        <v>929</v>
      </c>
      <c r="B7" s="786"/>
      <c r="C7" s="786"/>
      <c r="D7" s="786"/>
      <c r="E7" s="786"/>
      <c r="F7" s="786"/>
      <c r="G7" s="786"/>
      <c r="H7" s="796"/>
      <c r="I7" s="797"/>
    </row>
    <row r="8" spans="1:9" ht="12.75" customHeight="1" x14ac:dyDescent="0.2">
      <c r="A8" s="685" t="s">
        <v>1147</v>
      </c>
      <c r="B8" s="686"/>
      <c r="C8" s="686"/>
      <c r="D8" s="686"/>
      <c r="E8" s="686"/>
      <c r="F8" s="686"/>
      <c r="G8" s="686"/>
      <c r="H8" s="796"/>
      <c r="I8" s="797"/>
    </row>
    <row r="9" spans="1:9" x14ac:dyDescent="0.2">
      <c r="A9" s="785" t="s">
        <v>546</v>
      </c>
      <c r="B9" s="786"/>
      <c r="C9" s="786"/>
      <c r="D9" s="786"/>
      <c r="E9" s="786"/>
      <c r="F9" s="786"/>
      <c r="G9" s="786"/>
      <c r="H9" s="796"/>
      <c r="I9" s="797"/>
    </row>
    <row r="10" spans="1:9" x14ac:dyDescent="0.2">
      <c r="A10" s="68" t="s">
        <v>316</v>
      </c>
      <c r="B10" s="770" t="s">
        <v>317</v>
      </c>
      <c r="C10" s="771"/>
      <c r="D10" s="771"/>
      <c r="E10" s="772"/>
      <c r="F10" s="773">
        <v>43580</v>
      </c>
      <c r="G10" s="774"/>
      <c r="H10" s="640">
        <v>43669</v>
      </c>
      <c r="I10" s="641"/>
    </row>
    <row r="11" spans="1:9" x14ac:dyDescent="0.2">
      <c r="A11" s="68" t="s">
        <v>318</v>
      </c>
      <c r="B11" s="770" t="s">
        <v>319</v>
      </c>
      <c r="C11" s="771"/>
      <c r="D11" s="771"/>
      <c r="E11" s="772"/>
      <c r="F11" s="775" t="s">
        <v>320</v>
      </c>
      <c r="G11" s="776"/>
      <c r="H11" s="642" t="s">
        <v>320</v>
      </c>
      <c r="I11" s="643"/>
    </row>
    <row r="12" spans="1:9" ht="26.25" customHeight="1" x14ac:dyDescent="0.2">
      <c r="A12" s="69" t="s">
        <v>321</v>
      </c>
      <c r="B12" s="782" t="s">
        <v>605</v>
      </c>
      <c r="C12" s="783"/>
      <c r="D12" s="783"/>
      <c r="E12" s="784"/>
      <c r="F12" s="785" t="s">
        <v>878</v>
      </c>
      <c r="G12" s="786"/>
      <c r="H12" s="858" t="s">
        <v>1150</v>
      </c>
      <c r="I12" s="859"/>
    </row>
    <row r="13" spans="1:9" x14ac:dyDescent="0.2">
      <c r="A13" s="68" t="s">
        <v>322</v>
      </c>
      <c r="B13" s="770" t="s">
        <v>1140</v>
      </c>
      <c r="C13" s="771"/>
      <c r="D13" s="771"/>
      <c r="E13" s="772"/>
      <c r="F13" s="775">
        <v>24</v>
      </c>
      <c r="G13" s="776"/>
      <c r="H13" s="860">
        <v>24</v>
      </c>
      <c r="I13" s="861"/>
    </row>
    <row r="14" spans="1:9" ht="12.75" customHeight="1" x14ac:dyDescent="0.2">
      <c r="A14" s="752" t="s">
        <v>547</v>
      </c>
      <c r="B14" s="781"/>
      <c r="C14" s="781"/>
      <c r="D14" s="781"/>
      <c r="E14" s="781"/>
      <c r="F14" s="769"/>
      <c r="G14" s="752"/>
      <c r="H14" s="862"/>
      <c r="I14" s="863"/>
    </row>
    <row r="15" spans="1:9" ht="30" customHeight="1" x14ac:dyDescent="0.2">
      <c r="A15" s="787" t="s">
        <v>323</v>
      </c>
      <c r="B15" s="787"/>
      <c r="C15" s="787"/>
      <c r="D15" s="787"/>
      <c r="E15" s="314" t="s">
        <v>324</v>
      </c>
      <c r="F15" s="718" t="s">
        <v>898</v>
      </c>
      <c r="G15" s="719"/>
      <c r="H15" s="648" t="s">
        <v>898</v>
      </c>
      <c r="I15" s="649"/>
    </row>
    <row r="16" spans="1:9" ht="15" customHeight="1" x14ac:dyDescent="0.2">
      <c r="A16" s="777" t="s">
        <v>915</v>
      </c>
      <c r="B16" s="778"/>
      <c r="C16" s="778"/>
      <c r="D16" s="779"/>
      <c r="E16" s="78" t="s">
        <v>325</v>
      </c>
      <c r="F16" s="820">
        <v>1</v>
      </c>
      <c r="G16" s="791"/>
      <c r="H16" s="800">
        <v>1</v>
      </c>
      <c r="I16" s="801"/>
    </row>
    <row r="17" spans="1:9" ht="21.75" customHeight="1" x14ac:dyDescent="0.2">
      <c r="A17" s="789" t="s">
        <v>1112</v>
      </c>
      <c r="B17" s="790"/>
      <c r="C17" s="790"/>
      <c r="D17" s="790"/>
      <c r="E17" s="790"/>
      <c r="F17" s="831"/>
      <c r="G17" s="832"/>
      <c r="H17" s="864"/>
      <c r="I17" s="865"/>
    </row>
    <row r="18" spans="1:9" ht="23.25" customHeight="1" x14ac:dyDescent="0.2">
      <c r="A18" s="789" t="s">
        <v>1113</v>
      </c>
      <c r="B18" s="790"/>
      <c r="C18" s="790"/>
      <c r="D18" s="790"/>
      <c r="E18" s="790"/>
      <c r="F18" s="833"/>
      <c r="G18" s="834"/>
      <c r="H18" s="864"/>
      <c r="I18" s="865"/>
    </row>
    <row r="19" spans="1:9" x14ac:dyDescent="0.2">
      <c r="A19" s="589" t="s">
        <v>901</v>
      </c>
      <c r="B19" s="589"/>
      <c r="C19" s="589"/>
      <c r="D19" s="589"/>
      <c r="E19" s="589"/>
      <c r="F19" s="589"/>
      <c r="G19" s="851"/>
      <c r="H19" s="870"/>
      <c r="I19" s="871"/>
    </row>
    <row r="20" spans="1:9" x14ac:dyDescent="0.2">
      <c r="A20" s="836" t="s">
        <v>326</v>
      </c>
      <c r="B20" s="836"/>
      <c r="C20" s="836"/>
      <c r="D20" s="836"/>
      <c r="E20" s="836"/>
      <c r="F20" s="836"/>
      <c r="G20" s="837"/>
      <c r="H20" s="868"/>
      <c r="I20" s="869"/>
    </row>
    <row r="21" spans="1:9" x14ac:dyDescent="0.2">
      <c r="A21" s="836" t="s">
        <v>327</v>
      </c>
      <c r="B21" s="836"/>
      <c r="C21" s="836"/>
      <c r="D21" s="836"/>
      <c r="E21" s="836"/>
      <c r="F21" s="836"/>
      <c r="G21" s="837"/>
      <c r="H21" s="868"/>
      <c r="I21" s="869"/>
    </row>
    <row r="22" spans="1:9" ht="36.75" customHeight="1" x14ac:dyDescent="0.2">
      <c r="A22" s="68">
        <v>1</v>
      </c>
      <c r="B22" s="810" t="s">
        <v>328</v>
      </c>
      <c r="C22" s="811"/>
      <c r="D22" s="811"/>
      <c r="E22" s="812"/>
      <c r="F22" s="785" t="str">
        <f>'Eng. Eletric'!F22:G22</f>
        <v>Manutenção de instalações eletricas e hidrossanitárias prediais</v>
      </c>
      <c r="G22" s="786"/>
      <c r="H22" s="866" t="str">
        <f>'Eng. Eletric'!H22:I22</f>
        <v>Manutenção de instalações eletricas e hidrossanitárias prediais</v>
      </c>
      <c r="I22" s="867"/>
    </row>
    <row r="23" spans="1:9" x14ac:dyDescent="0.2">
      <c r="A23" s="68">
        <v>2</v>
      </c>
      <c r="B23" s="810" t="s">
        <v>549</v>
      </c>
      <c r="C23" s="811"/>
      <c r="D23" s="811"/>
      <c r="E23" s="812"/>
      <c r="F23" s="752" t="s">
        <v>594</v>
      </c>
      <c r="G23" s="781"/>
      <c r="H23" s="750" t="s">
        <v>594</v>
      </c>
      <c r="I23" s="751"/>
    </row>
    <row r="24" spans="1:9" x14ac:dyDescent="0.2">
      <c r="A24" s="69">
        <v>3</v>
      </c>
      <c r="B24" s="813" t="s">
        <v>882</v>
      </c>
      <c r="C24" s="814"/>
      <c r="D24" s="814"/>
      <c r="E24" s="815"/>
      <c r="F24" s="816">
        <v>2952.71</v>
      </c>
      <c r="G24" s="817"/>
      <c r="H24" s="852">
        <v>3061.96</v>
      </c>
      <c r="I24" s="853"/>
    </row>
    <row r="25" spans="1:9" ht="26.25" customHeight="1" x14ac:dyDescent="0.2">
      <c r="A25" s="68">
        <v>4</v>
      </c>
      <c r="B25" s="810" t="s">
        <v>329</v>
      </c>
      <c r="C25" s="811"/>
      <c r="D25" s="811"/>
      <c r="E25" s="812"/>
      <c r="F25" s="785" t="str">
        <f>A16</f>
        <v xml:space="preserve"> Encarregado(a) Geral de Manutenção </v>
      </c>
      <c r="G25" s="786"/>
      <c r="H25" s="854" t="str">
        <f>A16</f>
        <v xml:space="preserve"> Encarregado(a) Geral de Manutenção </v>
      </c>
      <c r="I25" s="855"/>
    </row>
    <row r="26" spans="1:9" ht="12.75" customHeight="1" x14ac:dyDescent="0.2">
      <c r="A26" s="68">
        <v>5</v>
      </c>
      <c r="B26" s="810" t="s">
        <v>582</v>
      </c>
      <c r="C26" s="811"/>
      <c r="D26" s="811"/>
      <c r="E26" s="812"/>
      <c r="F26" s="835" t="s">
        <v>612</v>
      </c>
      <c r="G26" s="792"/>
      <c r="H26" s="856" t="s">
        <v>612</v>
      </c>
      <c r="I26" s="857"/>
    </row>
    <row r="27" spans="1:9" x14ac:dyDescent="0.2">
      <c r="A27" s="70"/>
      <c r="B27" s="780" t="s">
        <v>973</v>
      </c>
      <c r="C27" s="780"/>
      <c r="D27" s="780"/>
      <c r="E27" s="780"/>
      <c r="F27" s="752"/>
      <c r="G27" s="753"/>
      <c r="H27" s="754"/>
      <c r="I27" s="755"/>
    </row>
    <row r="28" spans="1:9" x14ac:dyDescent="0.2">
      <c r="A28" s="68">
        <v>1</v>
      </c>
      <c r="B28" s="791" t="s">
        <v>330</v>
      </c>
      <c r="C28" s="792"/>
      <c r="D28" s="792"/>
      <c r="E28" s="809"/>
      <c r="F28" s="160" t="s">
        <v>341</v>
      </c>
      <c r="G28" s="311" t="s">
        <v>331</v>
      </c>
      <c r="H28" s="380" t="s">
        <v>341</v>
      </c>
      <c r="I28" s="401" t="s">
        <v>331</v>
      </c>
    </row>
    <row r="29" spans="1:9" x14ac:dyDescent="0.2">
      <c r="A29" s="69" t="s">
        <v>316</v>
      </c>
      <c r="B29" s="804" t="s">
        <v>590</v>
      </c>
      <c r="C29" s="679"/>
      <c r="D29" s="679"/>
      <c r="E29" s="680"/>
      <c r="F29" s="72">
        <v>1</v>
      </c>
      <c r="G29" s="317">
        <f>F24</f>
        <v>2952.71</v>
      </c>
      <c r="H29" s="381">
        <v>1</v>
      </c>
      <c r="I29" s="403">
        <f>H24</f>
        <v>3061.96</v>
      </c>
    </row>
    <row r="30" spans="1:9" x14ac:dyDescent="0.2">
      <c r="A30" s="68" t="s">
        <v>318</v>
      </c>
      <c r="B30" s="804" t="s">
        <v>984</v>
      </c>
      <c r="C30" s="679"/>
      <c r="D30" s="679"/>
      <c r="E30" s="680"/>
      <c r="F30" s="254">
        <v>0</v>
      </c>
      <c r="G30" s="318">
        <f>G29*F30</f>
        <v>0</v>
      </c>
      <c r="H30" s="382">
        <v>0</v>
      </c>
      <c r="I30" s="404">
        <f>I29*H30</f>
        <v>0</v>
      </c>
    </row>
    <row r="31" spans="1:9" x14ac:dyDescent="0.2">
      <c r="A31" s="68" t="s">
        <v>321</v>
      </c>
      <c r="B31" s="804" t="s">
        <v>551</v>
      </c>
      <c r="C31" s="679"/>
      <c r="D31" s="679"/>
      <c r="E31" s="680"/>
      <c r="F31" s="255">
        <v>0</v>
      </c>
      <c r="G31" s="319">
        <f t="shared" ref="G31:G33" si="0">G30*F31</f>
        <v>0</v>
      </c>
      <c r="H31" s="382">
        <v>0</v>
      </c>
      <c r="I31" s="404">
        <f t="shared" ref="I31:I33" si="1">I30*H31</f>
        <v>0</v>
      </c>
    </row>
    <row r="32" spans="1:9" x14ac:dyDescent="0.2">
      <c r="A32" s="68" t="s">
        <v>322</v>
      </c>
      <c r="B32" s="804" t="s">
        <v>552</v>
      </c>
      <c r="C32" s="679"/>
      <c r="D32" s="679"/>
      <c r="E32" s="680"/>
      <c r="F32" s="255">
        <v>0</v>
      </c>
      <c r="G32" s="319">
        <f t="shared" si="0"/>
        <v>0</v>
      </c>
      <c r="H32" s="382">
        <v>0</v>
      </c>
      <c r="I32" s="404">
        <f t="shared" si="1"/>
        <v>0</v>
      </c>
    </row>
    <row r="33" spans="1:9" x14ac:dyDescent="0.2">
      <c r="A33" s="68" t="s">
        <v>333</v>
      </c>
      <c r="B33" s="804" t="s">
        <v>553</v>
      </c>
      <c r="C33" s="679"/>
      <c r="D33" s="679"/>
      <c r="E33" s="680"/>
      <c r="F33" s="255">
        <v>0</v>
      </c>
      <c r="G33" s="319">
        <f t="shared" si="0"/>
        <v>0</v>
      </c>
      <c r="H33" s="382">
        <v>0</v>
      </c>
      <c r="I33" s="404">
        <f t="shared" si="1"/>
        <v>0</v>
      </c>
    </row>
    <row r="34" spans="1:9" x14ac:dyDescent="0.2">
      <c r="A34" s="68" t="s">
        <v>334</v>
      </c>
      <c r="B34" s="804" t="s">
        <v>880</v>
      </c>
      <c r="C34" s="679"/>
      <c r="D34" s="679"/>
      <c r="E34" s="680"/>
      <c r="F34" s="255"/>
      <c r="G34" s="319"/>
      <c r="H34" s="382"/>
      <c r="I34" s="404"/>
    </row>
    <row r="35" spans="1:9" x14ac:dyDescent="0.2">
      <c r="A35" s="71"/>
      <c r="B35" s="752" t="s">
        <v>337</v>
      </c>
      <c r="C35" s="781"/>
      <c r="D35" s="781"/>
      <c r="E35" s="781"/>
      <c r="F35" s="72">
        <f>SUM(F29:F34)</f>
        <v>1</v>
      </c>
      <c r="G35" s="317">
        <f>SUM(G29:G34)</f>
        <v>2952.71</v>
      </c>
      <c r="H35" s="381">
        <f>SUM(H29:H34)</f>
        <v>1</v>
      </c>
      <c r="I35" s="403">
        <f>SUM(I29:I34)</f>
        <v>3061.96</v>
      </c>
    </row>
    <row r="36" spans="1:9" x14ac:dyDescent="0.2">
      <c r="A36" s="824" t="s">
        <v>1043</v>
      </c>
      <c r="B36" s="825"/>
      <c r="C36" s="825"/>
      <c r="D36" s="825"/>
      <c r="E36" s="825"/>
      <c r="F36" s="825"/>
      <c r="G36" s="825"/>
      <c r="H36" s="798"/>
      <c r="I36" s="799"/>
    </row>
    <row r="37" spans="1:9" x14ac:dyDescent="0.2">
      <c r="A37" s="775"/>
      <c r="B37" s="776"/>
      <c r="C37" s="776"/>
      <c r="D37" s="776"/>
      <c r="E37" s="776"/>
      <c r="F37" s="163"/>
      <c r="G37" s="309"/>
      <c r="H37" s="798"/>
      <c r="I37" s="799"/>
    </row>
    <row r="38" spans="1:9" x14ac:dyDescent="0.2">
      <c r="A38" s="73"/>
      <c r="B38" s="752" t="s">
        <v>555</v>
      </c>
      <c r="C38" s="781"/>
      <c r="D38" s="781"/>
      <c r="E38" s="781"/>
      <c r="F38" s="752"/>
      <c r="G38" s="753"/>
      <c r="H38" s="750"/>
      <c r="I38" s="751"/>
    </row>
    <row r="39" spans="1:9" x14ac:dyDescent="0.2">
      <c r="A39" s="678" t="s">
        <v>556</v>
      </c>
      <c r="B39" s="793"/>
      <c r="C39" s="793"/>
      <c r="D39" s="793"/>
      <c r="E39" s="793"/>
      <c r="F39" s="793"/>
      <c r="G39" s="793"/>
      <c r="H39" s="800"/>
      <c r="I39" s="801"/>
    </row>
    <row r="40" spans="1:9" x14ac:dyDescent="0.2">
      <c r="A40" s="68" t="s">
        <v>557</v>
      </c>
      <c r="B40" s="678" t="s">
        <v>558</v>
      </c>
      <c r="C40" s="793"/>
      <c r="D40" s="793"/>
      <c r="E40" s="793"/>
      <c r="F40" s="818"/>
      <c r="G40" s="311" t="s">
        <v>331</v>
      </c>
      <c r="H40" s="380"/>
      <c r="I40" s="401" t="s">
        <v>331</v>
      </c>
    </row>
    <row r="41" spans="1:9" x14ac:dyDescent="0.2">
      <c r="A41" s="68" t="s">
        <v>316</v>
      </c>
      <c r="B41" s="804" t="s">
        <v>559</v>
      </c>
      <c r="C41" s="679"/>
      <c r="D41" s="679"/>
      <c r="E41" s="680"/>
      <c r="F41" s="161">
        <v>8.3299999999999999E-2</v>
      </c>
      <c r="G41" s="319">
        <f>F41*G35</f>
        <v>245.96074300000001</v>
      </c>
      <c r="H41" s="383">
        <v>8.3299999999999999E-2</v>
      </c>
      <c r="I41" s="404">
        <f>H41*I35</f>
        <v>255.06126800000001</v>
      </c>
    </row>
    <row r="42" spans="1:9" x14ac:dyDescent="0.2">
      <c r="A42" s="68" t="s">
        <v>318</v>
      </c>
      <c r="B42" s="804" t="s">
        <v>607</v>
      </c>
      <c r="C42" s="679"/>
      <c r="D42" s="679"/>
      <c r="E42" s="680"/>
      <c r="F42" s="161">
        <f>8.33%+(8.33%*1/3)</f>
        <v>0.11106666666666666</v>
      </c>
      <c r="G42" s="319">
        <f>F42*G35</f>
        <v>327.94765733333332</v>
      </c>
      <c r="H42" s="383">
        <f>8.33%+(8.33%*1/3)</f>
        <v>0.11106666666666666</v>
      </c>
      <c r="I42" s="404">
        <f>H42*I35</f>
        <v>340.08169066666665</v>
      </c>
    </row>
    <row r="43" spans="1:9" x14ac:dyDescent="0.2">
      <c r="A43" s="73"/>
      <c r="B43" s="752" t="s">
        <v>352</v>
      </c>
      <c r="C43" s="781"/>
      <c r="D43" s="781"/>
      <c r="E43" s="788"/>
      <c r="F43" s="75">
        <f>SUM(F41:F42)</f>
        <v>0.19436666666666666</v>
      </c>
      <c r="G43" s="317">
        <f>SUM(G41:G42)</f>
        <v>573.90840033333336</v>
      </c>
      <c r="H43" s="384">
        <f>SUM(H41:H42)</f>
        <v>0.19436666666666666</v>
      </c>
      <c r="I43" s="403">
        <f>SUM(I41:I42)</f>
        <v>595.14295866666669</v>
      </c>
    </row>
    <row r="44" spans="1:9" ht="20.25" customHeight="1" x14ac:dyDescent="0.2">
      <c r="A44" s="789" t="s">
        <v>1084</v>
      </c>
      <c r="B44" s="790"/>
      <c r="C44" s="790"/>
      <c r="D44" s="790"/>
      <c r="E44" s="790"/>
      <c r="F44" s="790"/>
      <c r="G44" s="790"/>
      <c r="H44" s="385"/>
      <c r="I44" s="405"/>
    </row>
    <row r="45" spans="1:9" ht="15.75" customHeight="1" x14ac:dyDescent="0.2">
      <c r="A45" s="789" t="s">
        <v>1085</v>
      </c>
      <c r="B45" s="790"/>
      <c r="C45" s="790"/>
      <c r="D45" s="790"/>
      <c r="E45" s="790"/>
      <c r="F45" s="790"/>
      <c r="G45" s="790"/>
      <c r="H45" s="385"/>
      <c r="I45" s="405"/>
    </row>
    <row r="46" spans="1:9" ht="24.75" customHeight="1" x14ac:dyDescent="0.2">
      <c r="A46" s="821" t="s">
        <v>1086</v>
      </c>
      <c r="B46" s="821"/>
      <c r="C46" s="821"/>
      <c r="D46" s="821"/>
      <c r="E46" s="821"/>
      <c r="F46" s="821"/>
      <c r="G46" s="821"/>
      <c r="H46" s="386"/>
      <c r="I46" s="406"/>
    </row>
    <row r="47" spans="1:9" x14ac:dyDescent="0.2">
      <c r="A47" s="775"/>
      <c r="B47" s="776"/>
      <c r="C47" s="776"/>
      <c r="D47" s="776"/>
      <c r="E47" s="776"/>
      <c r="F47" s="159"/>
      <c r="G47" s="307"/>
      <c r="H47" s="387"/>
      <c r="I47" s="407"/>
    </row>
    <row r="48" spans="1:9" x14ac:dyDescent="0.2">
      <c r="A48" s="678" t="s">
        <v>560</v>
      </c>
      <c r="B48" s="793"/>
      <c r="C48" s="793"/>
      <c r="D48" s="793"/>
      <c r="E48" s="793"/>
      <c r="F48" s="793"/>
      <c r="G48" s="793"/>
      <c r="H48" s="387"/>
      <c r="I48" s="408"/>
    </row>
    <row r="49" spans="1:10" ht="25.5" x14ac:dyDescent="0.2">
      <c r="A49" s="68" t="s">
        <v>561</v>
      </c>
      <c r="B49" s="678" t="s">
        <v>562</v>
      </c>
      <c r="C49" s="679"/>
      <c r="D49" s="679"/>
      <c r="E49" s="680"/>
      <c r="F49" s="161" t="s">
        <v>563</v>
      </c>
      <c r="G49" s="311" t="s">
        <v>331</v>
      </c>
      <c r="H49" s="383" t="s">
        <v>563</v>
      </c>
      <c r="I49" s="401" t="s">
        <v>331</v>
      </c>
    </row>
    <row r="50" spans="1:10" x14ac:dyDescent="0.2">
      <c r="A50" s="68" t="s">
        <v>316</v>
      </c>
      <c r="B50" s="804" t="s">
        <v>342</v>
      </c>
      <c r="C50" s="679"/>
      <c r="D50" s="679"/>
      <c r="E50" s="680"/>
      <c r="F50" s="80"/>
      <c r="G50" s="321">
        <f>F50*(G35+G43+G117)</f>
        <v>0</v>
      </c>
      <c r="H50" s="383"/>
      <c r="I50" s="409">
        <f>H50*(I35+I43+I117)</f>
        <v>0</v>
      </c>
    </row>
    <row r="51" spans="1:10" x14ac:dyDescent="0.2">
      <c r="A51" s="68" t="s">
        <v>318</v>
      </c>
      <c r="B51" s="804" t="s">
        <v>564</v>
      </c>
      <c r="C51" s="679"/>
      <c r="D51" s="679"/>
      <c r="E51" s="680"/>
      <c r="F51" s="80">
        <v>2.5000000000000001E-2</v>
      </c>
      <c r="G51" s="321">
        <f>F51*(G35+G43+G117)</f>
        <v>90.509583669444453</v>
      </c>
      <c r="H51" s="383">
        <v>2.5000000000000001E-2</v>
      </c>
      <c r="I51" s="409">
        <f>H51*(I35+I43+I117)</f>
        <v>93.858429988888901</v>
      </c>
    </row>
    <row r="52" spans="1:10" x14ac:dyDescent="0.2">
      <c r="A52" s="68" t="s">
        <v>321</v>
      </c>
      <c r="B52" s="804" t="s">
        <v>565</v>
      </c>
      <c r="C52" s="679"/>
      <c r="D52" s="679"/>
      <c r="E52" s="680"/>
      <c r="F52" s="1089">
        <v>2.7900000000000001E-2</v>
      </c>
      <c r="G52" s="321">
        <f>F52*(G35+G43+G117)</f>
        <v>101.0086953751</v>
      </c>
      <c r="H52" s="196">
        <v>2.76E-2</v>
      </c>
      <c r="I52" s="506">
        <f>H52*(I35+I43+I117)</f>
        <v>103.61970670773334</v>
      </c>
      <c r="J52" s="504"/>
    </row>
    <row r="53" spans="1:10" x14ac:dyDescent="0.2">
      <c r="A53" s="68" t="s">
        <v>322</v>
      </c>
      <c r="B53" s="804" t="s">
        <v>566</v>
      </c>
      <c r="C53" s="679"/>
      <c r="D53" s="679"/>
      <c r="E53" s="680"/>
      <c r="F53" s="80">
        <v>1.4999999999999999E-2</v>
      </c>
      <c r="G53" s="321">
        <f>F53*(G35+G43+G117)</f>
        <v>54.305750201666662</v>
      </c>
      <c r="H53" s="383">
        <v>1.4999999999999999E-2</v>
      </c>
      <c r="I53" s="409">
        <f>H53*(I35+I43+I117)</f>
        <v>56.315057993333333</v>
      </c>
    </row>
    <row r="54" spans="1:10" x14ac:dyDescent="0.2">
      <c r="A54" s="68" t="s">
        <v>333</v>
      </c>
      <c r="B54" s="804" t="s">
        <v>343</v>
      </c>
      <c r="C54" s="679"/>
      <c r="D54" s="679"/>
      <c r="E54" s="680"/>
      <c r="F54" s="80">
        <v>0.01</v>
      </c>
      <c r="G54" s="321">
        <f>F54*(G35+G43+G117)</f>
        <v>36.203833467777777</v>
      </c>
      <c r="H54" s="383">
        <v>0.01</v>
      </c>
      <c r="I54" s="409">
        <f>H54*(I35+I43+I117)</f>
        <v>37.54337199555556</v>
      </c>
    </row>
    <row r="55" spans="1:10" x14ac:dyDescent="0.2">
      <c r="A55" s="68" t="s">
        <v>334</v>
      </c>
      <c r="B55" s="804" t="s">
        <v>346</v>
      </c>
      <c r="C55" s="679"/>
      <c r="D55" s="679"/>
      <c r="E55" s="680"/>
      <c r="F55" s="80">
        <v>6.0000000000000001E-3</v>
      </c>
      <c r="G55" s="321">
        <f>F55*(G35+G43+G117)</f>
        <v>21.722300080666667</v>
      </c>
      <c r="H55" s="383">
        <v>6.0000000000000001E-3</v>
      </c>
      <c r="I55" s="409">
        <f>H55*(I35+I43+I117)</f>
        <v>22.526023197333334</v>
      </c>
    </row>
    <row r="56" spans="1:10" x14ac:dyDescent="0.2">
      <c r="A56" s="68" t="s">
        <v>335</v>
      </c>
      <c r="B56" s="804" t="s">
        <v>344</v>
      </c>
      <c r="C56" s="679"/>
      <c r="D56" s="679"/>
      <c r="E56" s="680"/>
      <c r="F56" s="80">
        <v>2E-3</v>
      </c>
      <c r="G56" s="321">
        <f>F56*(G35+G43+G117)</f>
        <v>7.2407666935555559</v>
      </c>
      <c r="H56" s="383">
        <v>2E-3</v>
      </c>
      <c r="I56" s="409">
        <f>H56*(I35+I43+I117)</f>
        <v>7.5086743991111113</v>
      </c>
    </row>
    <row r="57" spans="1:10" x14ac:dyDescent="0.2">
      <c r="A57" s="68" t="s">
        <v>336</v>
      </c>
      <c r="B57" s="804" t="s">
        <v>345</v>
      </c>
      <c r="C57" s="679"/>
      <c r="D57" s="679"/>
      <c r="E57" s="680"/>
      <c r="F57" s="80">
        <v>0.08</v>
      </c>
      <c r="G57" s="321">
        <f>F57*(G35+G43+G117)</f>
        <v>289.63066774222222</v>
      </c>
      <c r="H57" s="383">
        <v>0.08</v>
      </c>
      <c r="I57" s="409">
        <f>H57*(I35+I43+I117)</f>
        <v>300.34697596444448</v>
      </c>
    </row>
    <row r="58" spans="1:10" x14ac:dyDescent="0.2">
      <c r="A58" s="73"/>
      <c r="B58" s="752" t="s">
        <v>352</v>
      </c>
      <c r="C58" s="781"/>
      <c r="D58" s="781"/>
      <c r="E58" s="788"/>
      <c r="F58" s="75">
        <f>SUM(F50:F57)</f>
        <v>0.16589999999999999</v>
      </c>
      <c r="G58" s="322">
        <f>SUM(G50:G57)</f>
        <v>600.62159723043328</v>
      </c>
      <c r="H58" s="384">
        <f>SUM(H50:H57)</f>
        <v>0.1656</v>
      </c>
      <c r="I58" s="410">
        <f>SUM(I50:I57)</f>
        <v>621.7182402464</v>
      </c>
    </row>
    <row r="59" spans="1:10" ht="16.5" customHeight="1" x14ac:dyDescent="0.2">
      <c r="A59" s="789" t="s">
        <v>1103</v>
      </c>
      <c r="B59" s="790"/>
      <c r="C59" s="790"/>
      <c r="D59" s="790"/>
      <c r="E59" s="790"/>
      <c r="F59" s="790"/>
      <c r="G59" s="790"/>
      <c r="H59" s="760"/>
      <c r="I59" s="761"/>
    </row>
    <row r="60" spans="1:10" ht="12" customHeight="1" x14ac:dyDescent="0.2">
      <c r="A60" s="789" t="s">
        <v>1104</v>
      </c>
      <c r="B60" s="790"/>
      <c r="C60" s="790"/>
      <c r="D60" s="790"/>
      <c r="E60" s="790"/>
      <c r="F60" s="790"/>
      <c r="G60" s="790"/>
      <c r="H60" s="760"/>
      <c r="I60" s="761"/>
    </row>
    <row r="61" spans="1:10" ht="14.25" customHeight="1" x14ac:dyDescent="0.2">
      <c r="A61" s="875" t="s">
        <v>936</v>
      </c>
      <c r="B61" s="876"/>
      <c r="C61" s="876"/>
      <c r="D61" s="876"/>
      <c r="E61" s="876"/>
      <c r="F61" s="876"/>
      <c r="G61" s="876"/>
      <c r="H61" s="760"/>
      <c r="I61" s="761"/>
    </row>
    <row r="62" spans="1:10" x14ac:dyDescent="0.2">
      <c r="A62" s="791"/>
      <c r="B62" s="792"/>
      <c r="C62" s="792"/>
      <c r="D62" s="792"/>
      <c r="E62" s="792"/>
      <c r="F62" s="80"/>
      <c r="G62" s="312"/>
      <c r="H62" s="760"/>
      <c r="I62" s="761"/>
    </row>
    <row r="63" spans="1:10" x14ac:dyDescent="0.2">
      <c r="A63" s="678" t="s">
        <v>567</v>
      </c>
      <c r="B63" s="793"/>
      <c r="C63" s="793"/>
      <c r="D63" s="793"/>
      <c r="E63" s="793"/>
      <c r="F63" s="793"/>
      <c r="G63" s="793"/>
      <c r="H63" s="760"/>
      <c r="I63" s="761"/>
    </row>
    <row r="64" spans="1:10" x14ac:dyDescent="0.2">
      <c r="A64" s="68" t="s">
        <v>568</v>
      </c>
      <c r="B64" s="820" t="s">
        <v>569</v>
      </c>
      <c r="C64" s="820"/>
      <c r="D64" s="820"/>
      <c r="E64" s="820"/>
      <c r="F64" s="820"/>
      <c r="G64" s="311" t="s">
        <v>331</v>
      </c>
      <c r="H64" s="380"/>
      <c r="I64" s="401" t="s">
        <v>331</v>
      </c>
    </row>
    <row r="65" spans="1:9" ht="26.25" customHeight="1" x14ac:dyDescent="0.2">
      <c r="A65" s="68" t="s">
        <v>316</v>
      </c>
      <c r="B65" s="804" t="s">
        <v>1024</v>
      </c>
      <c r="C65" s="679"/>
      <c r="D65" s="679"/>
      <c r="E65" s="679"/>
      <c r="F65" s="680"/>
      <c r="G65" s="319">
        <f>((5+2.5)*2*21.5)-6%*G29</f>
        <v>145.3374</v>
      </c>
      <c r="H65" s="388"/>
      <c r="I65" s="404">
        <f>((5+2.5)*2*21.5)-6%*I29</f>
        <v>138.7824</v>
      </c>
    </row>
    <row r="66" spans="1:9" ht="26.25" customHeight="1" x14ac:dyDescent="0.2">
      <c r="A66" s="68" t="s">
        <v>318</v>
      </c>
      <c r="B66" s="804" t="s">
        <v>1025</v>
      </c>
      <c r="C66" s="679"/>
      <c r="D66" s="679"/>
      <c r="E66" s="679"/>
      <c r="F66" s="680"/>
      <c r="G66" s="319">
        <f>31.5*21.5</f>
        <v>677.25</v>
      </c>
      <c r="H66" s="388"/>
      <c r="I66" s="404">
        <f>32.7*21.5</f>
        <v>703.05000000000007</v>
      </c>
    </row>
    <row r="67" spans="1:9" x14ac:dyDescent="0.2">
      <c r="A67" s="68" t="s">
        <v>321</v>
      </c>
      <c r="B67" s="804" t="s">
        <v>963</v>
      </c>
      <c r="C67" s="679"/>
      <c r="D67" s="679"/>
      <c r="E67" s="679"/>
      <c r="F67" s="680"/>
      <c r="G67" s="319">
        <v>0</v>
      </c>
      <c r="H67" s="388"/>
      <c r="I67" s="404">
        <v>0</v>
      </c>
    </row>
    <row r="68" spans="1:9" x14ac:dyDescent="0.2">
      <c r="A68" s="68" t="s">
        <v>322</v>
      </c>
      <c r="B68" s="678" t="s">
        <v>930</v>
      </c>
      <c r="C68" s="679"/>
      <c r="D68" s="679"/>
      <c r="E68" s="679"/>
      <c r="F68" s="680"/>
      <c r="G68" s="319">
        <v>0</v>
      </c>
      <c r="H68" s="388"/>
      <c r="I68" s="404">
        <v>0</v>
      </c>
    </row>
    <row r="69" spans="1:9" x14ac:dyDescent="0.2">
      <c r="A69" s="68" t="s">
        <v>333</v>
      </c>
      <c r="B69" s="678" t="s">
        <v>933</v>
      </c>
      <c r="C69" s="793"/>
      <c r="D69" s="793"/>
      <c r="E69" s="793"/>
      <c r="F69" s="818"/>
      <c r="G69" s="319"/>
      <c r="H69" s="388"/>
      <c r="I69" s="404"/>
    </row>
    <row r="70" spans="1:9" x14ac:dyDescent="0.2">
      <c r="A70" s="68" t="s">
        <v>334</v>
      </c>
      <c r="B70" s="678" t="s">
        <v>932</v>
      </c>
      <c r="C70" s="679"/>
      <c r="D70" s="679"/>
      <c r="E70" s="679"/>
      <c r="F70" s="680"/>
      <c r="G70" s="319">
        <v>0</v>
      </c>
      <c r="H70" s="388"/>
      <c r="I70" s="404">
        <v>10.65</v>
      </c>
    </row>
    <row r="71" spans="1:9" x14ac:dyDescent="0.2">
      <c r="A71" s="68" t="s">
        <v>335</v>
      </c>
      <c r="B71" s="678" t="s">
        <v>931</v>
      </c>
      <c r="C71" s="679"/>
      <c r="D71" s="679"/>
      <c r="E71" s="679"/>
      <c r="F71" s="680"/>
      <c r="G71" s="319">
        <v>0</v>
      </c>
      <c r="H71" s="388"/>
      <c r="I71" s="404">
        <v>0</v>
      </c>
    </row>
    <row r="72" spans="1:9" x14ac:dyDescent="0.2">
      <c r="A72" s="71"/>
      <c r="B72" s="752" t="s">
        <v>352</v>
      </c>
      <c r="C72" s="781"/>
      <c r="D72" s="781"/>
      <c r="E72" s="781"/>
      <c r="F72" s="788"/>
      <c r="G72" s="317">
        <f>SUM(G65:G70)</f>
        <v>822.5874</v>
      </c>
      <c r="H72" s="389"/>
      <c r="I72" s="403">
        <f>SUM(I65:I70)</f>
        <v>852.48239999999998</v>
      </c>
    </row>
    <row r="73" spans="1:9" x14ac:dyDescent="0.2">
      <c r="A73" s="789" t="s">
        <v>1114</v>
      </c>
      <c r="B73" s="790"/>
      <c r="C73" s="790"/>
      <c r="D73" s="790"/>
      <c r="E73" s="790"/>
      <c r="F73" s="790"/>
      <c r="G73" s="790"/>
      <c r="H73" s="760"/>
      <c r="I73" s="761"/>
    </row>
    <row r="74" spans="1:9" x14ac:dyDescent="0.2">
      <c r="A74" s="789" t="s">
        <v>1115</v>
      </c>
      <c r="B74" s="790"/>
      <c r="C74" s="790"/>
      <c r="D74" s="790"/>
      <c r="E74" s="790"/>
      <c r="F74" s="790"/>
      <c r="G74" s="790"/>
      <c r="H74" s="760"/>
      <c r="I74" s="761"/>
    </row>
    <row r="75" spans="1:9" x14ac:dyDescent="0.2">
      <c r="A75" s="76"/>
      <c r="B75" s="77"/>
      <c r="C75" s="77"/>
      <c r="D75" s="77"/>
      <c r="E75" s="77"/>
      <c r="F75" s="159"/>
      <c r="G75" s="307"/>
      <c r="H75" s="760"/>
      <c r="I75" s="761"/>
    </row>
    <row r="76" spans="1:9" x14ac:dyDescent="0.2">
      <c r="A76" s="73"/>
      <c r="B76" s="769" t="s">
        <v>892</v>
      </c>
      <c r="C76" s="769"/>
      <c r="D76" s="769"/>
      <c r="E76" s="769"/>
      <c r="F76" s="769"/>
      <c r="G76" s="253"/>
      <c r="H76" s="750"/>
      <c r="I76" s="751"/>
    </row>
    <row r="77" spans="1:9" x14ac:dyDescent="0.2">
      <c r="A77" s="68">
        <v>2</v>
      </c>
      <c r="B77" s="820" t="s">
        <v>571</v>
      </c>
      <c r="C77" s="820"/>
      <c r="D77" s="820"/>
      <c r="E77" s="820"/>
      <c r="F77" s="820"/>
      <c r="G77" s="311" t="s">
        <v>331</v>
      </c>
      <c r="H77" s="380"/>
      <c r="I77" s="401" t="s">
        <v>331</v>
      </c>
    </row>
    <row r="78" spans="1:9" x14ac:dyDescent="0.2">
      <c r="A78" s="68" t="s">
        <v>557</v>
      </c>
      <c r="B78" s="819" t="s">
        <v>572</v>
      </c>
      <c r="C78" s="819"/>
      <c r="D78" s="819"/>
      <c r="E78" s="819"/>
      <c r="F78" s="819"/>
      <c r="G78" s="319">
        <f>G43</f>
        <v>573.90840033333336</v>
      </c>
      <c r="H78" s="388"/>
      <c r="I78" s="404">
        <f>I43</f>
        <v>595.14295866666669</v>
      </c>
    </row>
    <row r="79" spans="1:9" x14ac:dyDescent="0.2">
      <c r="A79" s="68" t="s">
        <v>561</v>
      </c>
      <c r="B79" s="819" t="s">
        <v>562</v>
      </c>
      <c r="C79" s="819"/>
      <c r="D79" s="819"/>
      <c r="E79" s="819"/>
      <c r="F79" s="819"/>
      <c r="G79" s="319">
        <f>G58</f>
        <v>600.62159723043328</v>
      </c>
      <c r="H79" s="388"/>
      <c r="I79" s="404">
        <f>I58</f>
        <v>621.7182402464</v>
      </c>
    </row>
    <row r="80" spans="1:9" x14ac:dyDescent="0.2">
      <c r="A80" s="68" t="s">
        <v>568</v>
      </c>
      <c r="B80" s="819" t="s">
        <v>569</v>
      </c>
      <c r="C80" s="819"/>
      <c r="D80" s="819"/>
      <c r="E80" s="819"/>
      <c r="F80" s="819"/>
      <c r="G80" s="319">
        <f>G72</f>
        <v>822.5874</v>
      </c>
      <c r="H80" s="388"/>
      <c r="I80" s="404">
        <f>I72</f>
        <v>852.48239999999998</v>
      </c>
    </row>
    <row r="81" spans="1:9" x14ac:dyDescent="0.2">
      <c r="A81" s="134"/>
      <c r="B81" s="756" t="s">
        <v>352</v>
      </c>
      <c r="C81" s="840"/>
      <c r="D81" s="840"/>
      <c r="E81" s="840"/>
      <c r="F81" s="841"/>
      <c r="G81" s="317">
        <f>SUM(G78:G80)</f>
        <v>1997.1173975637666</v>
      </c>
      <c r="H81" s="389"/>
      <c r="I81" s="403">
        <f>SUM(I78:I80)</f>
        <v>2069.3435989130667</v>
      </c>
    </row>
    <row r="82" spans="1:9" x14ac:dyDescent="0.2">
      <c r="A82" s="838"/>
      <c r="B82" s="839"/>
      <c r="C82" s="839"/>
      <c r="D82" s="839"/>
      <c r="E82" s="839"/>
      <c r="F82" s="839"/>
      <c r="G82" s="839"/>
      <c r="H82" s="764"/>
      <c r="I82" s="765"/>
    </row>
    <row r="83" spans="1:9" x14ac:dyDescent="0.2">
      <c r="A83" s="131"/>
      <c r="B83" s="752" t="s">
        <v>885</v>
      </c>
      <c r="C83" s="781"/>
      <c r="D83" s="781"/>
      <c r="E83" s="788"/>
      <c r="F83" s="752"/>
      <c r="G83" s="753"/>
      <c r="H83" s="750"/>
      <c r="I83" s="751"/>
    </row>
    <row r="84" spans="1:9" ht="25.5" x14ac:dyDescent="0.2">
      <c r="A84" s="68">
        <v>3</v>
      </c>
      <c r="B84" s="791" t="s">
        <v>348</v>
      </c>
      <c r="C84" s="792"/>
      <c r="D84" s="792"/>
      <c r="E84" s="809"/>
      <c r="F84" s="161" t="s">
        <v>563</v>
      </c>
      <c r="G84" s="311" t="s">
        <v>331</v>
      </c>
      <c r="H84" s="383" t="s">
        <v>563</v>
      </c>
      <c r="I84" s="401" t="s">
        <v>331</v>
      </c>
    </row>
    <row r="85" spans="1:9" x14ac:dyDescent="0.2">
      <c r="A85" s="78" t="s">
        <v>316</v>
      </c>
      <c r="B85" s="804" t="s">
        <v>985</v>
      </c>
      <c r="C85" s="679"/>
      <c r="D85" s="679"/>
      <c r="E85" s="680"/>
      <c r="F85" s="256">
        <v>4.1700000000000001E-3</v>
      </c>
      <c r="G85" s="319">
        <f>F85*(G35+G43)</f>
        <v>14.70599872939</v>
      </c>
      <c r="H85" s="390">
        <v>4.1700000000000001E-3</v>
      </c>
      <c r="I85" s="404">
        <f>H85*(I35+I43)</f>
        <v>15.250119337640001</v>
      </c>
    </row>
    <row r="86" spans="1:9" x14ac:dyDescent="0.2">
      <c r="A86" s="78" t="s">
        <v>318</v>
      </c>
      <c r="B86" s="804" t="s">
        <v>966</v>
      </c>
      <c r="C86" s="679"/>
      <c r="D86" s="679"/>
      <c r="E86" s="680"/>
      <c r="F86" s="256">
        <f>F57*F85</f>
        <v>3.3360000000000003E-4</v>
      </c>
      <c r="G86" s="319">
        <f>F86*(G35+G43)</f>
        <v>1.1764798983512001</v>
      </c>
      <c r="H86" s="390">
        <f>H57*H85</f>
        <v>3.3360000000000003E-4</v>
      </c>
      <c r="I86" s="404">
        <f>H86*(I35+I43)</f>
        <v>1.2200095470112002</v>
      </c>
    </row>
    <row r="87" spans="1:9" ht="33.75" customHeight="1" x14ac:dyDescent="0.2">
      <c r="A87" s="68" t="s">
        <v>321</v>
      </c>
      <c r="B87" s="804" t="s">
        <v>1101</v>
      </c>
      <c r="C87" s="679"/>
      <c r="D87" s="679"/>
      <c r="E87" s="680"/>
      <c r="F87" s="256">
        <f xml:space="preserve"> (40%+10%)*F85</f>
        <v>2.085E-3</v>
      </c>
      <c r="G87" s="319">
        <f>F87*(G35+G43)</f>
        <v>7.352999364695</v>
      </c>
      <c r="H87" s="390">
        <f xml:space="preserve"> (40%+10%)*H85</f>
        <v>2.085E-3</v>
      </c>
      <c r="I87" s="404">
        <f>H87*(I35+I43)</f>
        <v>7.6250596688200005</v>
      </c>
    </row>
    <row r="88" spans="1:9" ht="26.25" customHeight="1" x14ac:dyDescent="0.2">
      <c r="A88" s="68" t="s">
        <v>322</v>
      </c>
      <c r="B88" s="804" t="s">
        <v>1117</v>
      </c>
      <c r="C88" s="679"/>
      <c r="D88" s="679"/>
      <c r="E88" s="680"/>
      <c r="F88" s="256">
        <f>(7/30)/12</f>
        <v>1.9444444444444445E-2</v>
      </c>
      <c r="G88" s="319">
        <f>F88*($G$35+$G$43)</f>
        <v>68.573135562037038</v>
      </c>
      <c r="H88" s="390">
        <f>(7/30)/12</f>
        <v>1.9444444444444445E-2</v>
      </c>
      <c r="I88" s="404">
        <f>H88*($I$35+$I$43)</f>
        <v>71.110335307407411</v>
      </c>
    </row>
    <row r="89" spans="1:9" x14ac:dyDescent="0.2">
      <c r="A89" s="69" t="s">
        <v>333</v>
      </c>
      <c r="B89" s="805" t="s">
        <v>978</v>
      </c>
      <c r="C89" s="806"/>
      <c r="D89" s="806"/>
      <c r="E89" s="807"/>
      <c r="F89" s="257">
        <f>F58*F88</f>
        <v>3.2258333333333332E-3</v>
      </c>
      <c r="G89" s="323">
        <f>F89*(G35+G43)</f>
        <v>11.376283189741944</v>
      </c>
      <c r="H89" s="391">
        <f>H58*H88</f>
        <v>3.2200000000000002E-3</v>
      </c>
      <c r="I89" s="411">
        <f>H89*(I35+I43)</f>
        <v>11.775871526906668</v>
      </c>
    </row>
    <row r="90" spans="1:9" x14ac:dyDescent="0.2">
      <c r="A90" s="68" t="s">
        <v>334</v>
      </c>
      <c r="B90" s="804" t="s">
        <v>979</v>
      </c>
      <c r="C90" s="679"/>
      <c r="D90" s="679"/>
      <c r="E90" s="680"/>
      <c r="F90" s="161">
        <f>50%*F88</f>
        <v>9.7222222222222224E-3</v>
      </c>
      <c r="G90" s="319">
        <f>F90*($G$35+$G$43)</f>
        <v>34.286567781018519</v>
      </c>
      <c r="H90" s="383">
        <f>50%*H88</f>
        <v>9.7222222222222224E-3</v>
      </c>
      <c r="I90" s="404">
        <f>H90*($I$35+$I$43)</f>
        <v>35.555167653703705</v>
      </c>
    </row>
    <row r="91" spans="1:9" x14ac:dyDescent="0.2">
      <c r="A91" s="73"/>
      <c r="B91" s="752" t="s">
        <v>352</v>
      </c>
      <c r="C91" s="781"/>
      <c r="D91" s="781"/>
      <c r="E91" s="788"/>
      <c r="F91" s="82">
        <f>SUM(F85:F90)</f>
        <v>3.8981100000000005E-2</v>
      </c>
      <c r="G91" s="317">
        <f>SUM(G85:G90)</f>
        <v>137.4714645252337</v>
      </c>
      <c r="H91" s="392">
        <f>SUM(H85:H90)</f>
        <v>3.8975266666666668E-2</v>
      </c>
      <c r="I91" s="403">
        <f>SUM(I85:I90)</f>
        <v>142.53656304148899</v>
      </c>
    </row>
    <row r="92" spans="1:9" x14ac:dyDescent="0.2">
      <c r="A92" s="83"/>
      <c r="B92" s="84"/>
      <c r="C92" s="84"/>
      <c r="D92" s="84"/>
      <c r="E92" s="84"/>
      <c r="F92" s="163"/>
      <c r="G92" s="315"/>
      <c r="H92" s="393"/>
      <c r="I92" s="412"/>
    </row>
    <row r="93" spans="1:9" x14ac:dyDescent="0.2">
      <c r="A93" s="73"/>
      <c r="B93" s="752" t="s">
        <v>886</v>
      </c>
      <c r="C93" s="781"/>
      <c r="D93" s="781"/>
      <c r="E93" s="788"/>
      <c r="F93" s="74"/>
      <c r="G93" s="320"/>
      <c r="H93" s="750"/>
      <c r="I93" s="751"/>
    </row>
    <row r="94" spans="1:9" ht="22.5" customHeight="1" x14ac:dyDescent="0.2">
      <c r="A94" s="808" t="s">
        <v>1107</v>
      </c>
      <c r="B94" s="790"/>
      <c r="C94" s="790"/>
      <c r="D94" s="790"/>
      <c r="E94" s="790"/>
      <c r="F94" s="790"/>
      <c r="G94" s="790"/>
      <c r="H94" s="760"/>
      <c r="I94" s="761"/>
    </row>
    <row r="95" spans="1:9" x14ac:dyDescent="0.2">
      <c r="A95" s="775"/>
      <c r="B95" s="776"/>
      <c r="C95" s="776"/>
      <c r="D95" s="776"/>
      <c r="E95" s="776"/>
      <c r="F95" s="776"/>
      <c r="G95" s="776"/>
      <c r="H95" s="760"/>
      <c r="I95" s="761"/>
    </row>
    <row r="96" spans="1:9" x14ac:dyDescent="0.2">
      <c r="A96" s="794" t="s">
        <v>902</v>
      </c>
      <c r="B96" s="795"/>
      <c r="C96" s="795"/>
      <c r="D96" s="795"/>
      <c r="E96" s="795"/>
      <c r="F96" s="795"/>
      <c r="G96" s="795"/>
      <c r="H96" s="760"/>
      <c r="I96" s="761"/>
    </row>
    <row r="97" spans="1:9" ht="25.5" x14ac:dyDescent="0.2">
      <c r="A97" s="78" t="s">
        <v>340</v>
      </c>
      <c r="B97" s="791" t="s">
        <v>906</v>
      </c>
      <c r="C97" s="792"/>
      <c r="D97" s="792"/>
      <c r="E97" s="792"/>
      <c r="F97" s="161" t="s">
        <v>563</v>
      </c>
      <c r="G97" s="311" t="s">
        <v>331</v>
      </c>
      <c r="H97" s="383" t="s">
        <v>563</v>
      </c>
      <c r="I97" s="401" t="s">
        <v>331</v>
      </c>
    </row>
    <row r="98" spans="1:9" x14ac:dyDescent="0.2">
      <c r="A98" s="68" t="s">
        <v>316</v>
      </c>
      <c r="B98" s="804" t="s">
        <v>904</v>
      </c>
      <c r="C98" s="679"/>
      <c r="D98" s="679"/>
      <c r="E98" s="679"/>
      <c r="F98" s="161">
        <f>(8.33%+(8.33%*1/3))/12</f>
        <v>9.2555555555555551E-3</v>
      </c>
      <c r="G98" s="319">
        <f>F98*G35</f>
        <v>27.328971444444445</v>
      </c>
      <c r="H98" s="383">
        <f>(8.33%+(8.33%*1/3))/12</f>
        <v>9.2555555555555551E-3</v>
      </c>
      <c r="I98" s="404">
        <f>H98*I35</f>
        <v>28.340140888888889</v>
      </c>
    </row>
    <row r="99" spans="1:9" x14ac:dyDescent="0.2">
      <c r="A99" s="68" t="s">
        <v>318</v>
      </c>
      <c r="B99" s="804" t="s">
        <v>980</v>
      </c>
      <c r="C99" s="679"/>
      <c r="D99" s="679"/>
      <c r="E99" s="679"/>
      <c r="F99" s="161">
        <f>(1/12)/30</f>
        <v>2.7777777777777775E-3</v>
      </c>
      <c r="G99" s="319">
        <f>F99*G35</f>
        <v>8.2019722222222207</v>
      </c>
      <c r="H99" s="383">
        <f>(1/12)/30</f>
        <v>2.7777777777777775E-3</v>
      </c>
      <c r="I99" s="404">
        <f>H99*I35</f>
        <v>8.5054444444444428</v>
      </c>
    </row>
    <row r="100" spans="1:9" x14ac:dyDescent="0.2">
      <c r="A100" s="68" t="s">
        <v>321</v>
      </c>
      <c r="B100" s="804" t="s">
        <v>981</v>
      </c>
      <c r="C100" s="679"/>
      <c r="D100" s="679"/>
      <c r="E100" s="679"/>
      <c r="F100" s="258">
        <f>1.5%/12</f>
        <v>1.25E-3</v>
      </c>
      <c r="G100" s="319">
        <f>F100*G35</f>
        <v>3.6908875000000001</v>
      </c>
      <c r="H100" s="390">
        <f>1.5%/12</f>
        <v>1.25E-3</v>
      </c>
      <c r="I100" s="404">
        <f>H100*I35</f>
        <v>3.8274500000000002</v>
      </c>
    </row>
    <row r="101" spans="1:9" ht="27" customHeight="1" x14ac:dyDescent="0.2">
      <c r="A101" s="68" t="s">
        <v>322</v>
      </c>
      <c r="B101" s="804" t="s">
        <v>986</v>
      </c>
      <c r="C101" s="679"/>
      <c r="D101" s="679"/>
      <c r="E101" s="679"/>
      <c r="F101" s="256">
        <f>8%/12/2</f>
        <v>3.3333333333333335E-3</v>
      </c>
      <c r="G101" s="319">
        <f>F101*G35</f>
        <v>9.8423666666666669</v>
      </c>
      <c r="H101" s="390">
        <f>8%/12/2</f>
        <v>3.3333333333333335E-3</v>
      </c>
      <c r="I101" s="404">
        <f>H101*I35</f>
        <v>10.206533333333335</v>
      </c>
    </row>
    <row r="102" spans="1:9" ht="24.75" customHeight="1" x14ac:dyDescent="0.2">
      <c r="A102" s="68" t="s">
        <v>333</v>
      </c>
      <c r="B102" s="804" t="s">
        <v>983</v>
      </c>
      <c r="C102" s="679"/>
      <c r="D102" s="679"/>
      <c r="E102" s="679"/>
      <c r="F102" s="259">
        <f>1.5%/12</f>
        <v>1.25E-3</v>
      </c>
      <c r="G102" s="319">
        <f>F102*G35</f>
        <v>3.6908875000000001</v>
      </c>
      <c r="H102" s="394">
        <f>1.5%/12</f>
        <v>1.25E-3</v>
      </c>
      <c r="I102" s="404">
        <f>H102*I35</f>
        <v>3.8274500000000002</v>
      </c>
    </row>
    <row r="103" spans="1:9" x14ac:dyDescent="0.2">
      <c r="A103" s="68" t="s">
        <v>334</v>
      </c>
      <c r="B103" s="804" t="s">
        <v>907</v>
      </c>
      <c r="C103" s="679"/>
      <c r="D103" s="679"/>
      <c r="E103" s="679"/>
      <c r="F103" s="161">
        <f>(5/12)/30</f>
        <v>1.388888888888889E-2</v>
      </c>
      <c r="G103" s="319">
        <f>F103*G35</f>
        <v>41.009861111111114</v>
      </c>
      <c r="H103" s="383">
        <f>(5/12)/30</f>
        <v>1.388888888888889E-2</v>
      </c>
      <c r="I103" s="404">
        <f>H103*I35</f>
        <v>42.527222222222228</v>
      </c>
    </row>
    <row r="104" spans="1:9" x14ac:dyDescent="0.2">
      <c r="A104" s="73"/>
      <c r="B104" s="752" t="s">
        <v>352</v>
      </c>
      <c r="C104" s="781"/>
      <c r="D104" s="781"/>
      <c r="E104" s="788"/>
      <c r="F104" s="75">
        <f>SUM(F98:F103)</f>
        <v>3.1755555555555558E-2</v>
      </c>
      <c r="G104" s="317">
        <f>SUM(G98:G103)</f>
        <v>93.764946444444462</v>
      </c>
      <c r="H104" s="384">
        <f>SUM(H98:H103)</f>
        <v>3.1755555555555558E-2</v>
      </c>
      <c r="I104" s="403">
        <f>SUM(I98:I103)</f>
        <v>97.234240888888891</v>
      </c>
    </row>
    <row r="105" spans="1:9" ht="27" customHeight="1" x14ac:dyDescent="0.2">
      <c r="A105" s="789" t="s">
        <v>1118</v>
      </c>
      <c r="B105" s="790"/>
      <c r="C105" s="790"/>
      <c r="D105" s="790"/>
      <c r="E105" s="790"/>
      <c r="F105" s="790"/>
      <c r="G105" s="790"/>
      <c r="H105" s="760"/>
      <c r="I105" s="761"/>
    </row>
    <row r="106" spans="1:9" x14ac:dyDescent="0.2">
      <c r="A106" s="791"/>
      <c r="B106" s="792"/>
      <c r="C106" s="792"/>
      <c r="D106" s="792"/>
      <c r="E106" s="792"/>
      <c r="F106" s="792"/>
      <c r="G106" s="792"/>
      <c r="H106" s="760"/>
      <c r="I106" s="761"/>
    </row>
    <row r="107" spans="1:9" x14ac:dyDescent="0.2">
      <c r="A107" s="678" t="s">
        <v>911</v>
      </c>
      <c r="B107" s="793"/>
      <c r="C107" s="793"/>
      <c r="D107" s="793"/>
      <c r="E107" s="793"/>
      <c r="F107" s="793"/>
      <c r="G107" s="793"/>
      <c r="H107" s="760"/>
      <c r="I107" s="761"/>
    </row>
    <row r="108" spans="1:9" ht="25.5" x14ac:dyDescent="0.2">
      <c r="A108" s="68" t="s">
        <v>347</v>
      </c>
      <c r="B108" s="791" t="s">
        <v>912</v>
      </c>
      <c r="C108" s="792"/>
      <c r="D108" s="792"/>
      <c r="E108" s="809"/>
      <c r="F108" s="161" t="s">
        <v>563</v>
      </c>
      <c r="G108" s="311" t="s">
        <v>331</v>
      </c>
      <c r="H108" s="383" t="s">
        <v>563</v>
      </c>
      <c r="I108" s="401" t="s">
        <v>331</v>
      </c>
    </row>
    <row r="109" spans="1:9" x14ac:dyDescent="0.2">
      <c r="A109" s="68" t="s">
        <v>316</v>
      </c>
      <c r="B109" s="804" t="s">
        <v>913</v>
      </c>
      <c r="C109" s="679"/>
      <c r="D109" s="679"/>
      <c r="E109" s="680"/>
      <c r="F109" s="143"/>
      <c r="G109" s="319"/>
      <c r="H109" s="764"/>
      <c r="I109" s="765"/>
    </row>
    <row r="110" spans="1:9" x14ac:dyDescent="0.2">
      <c r="A110" s="73"/>
      <c r="B110" s="752" t="s">
        <v>352</v>
      </c>
      <c r="C110" s="781"/>
      <c r="D110" s="781"/>
      <c r="E110" s="788"/>
      <c r="F110" s="756"/>
      <c r="G110" s="757"/>
      <c r="H110" s="802"/>
      <c r="I110" s="803"/>
    </row>
    <row r="111" spans="1:9" ht="17.25" customHeight="1" x14ac:dyDescent="0.2">
      <c r="A111" s="789" t="s">
        <v>1119</v>
      </c>
      <c r="B111" s="790"/>
      <c r="C111" s="790"/>
      <c r="D111" s="790"/>
      <c r="E111" s="790"/>
      <c r="F111" s="790"/>
      <c r="G111" s="790"/>
      <c r="H111" s="760"/>
      <c r="I111" s="761"/>
    </row>
    <row r="112" spans="1:9" x14ac:dyDescent="0.2">
      <c r="A112" s="775"/>
      <c r="B112" s="776"/>
      <c r="C112" s="776"/>
      <c r="D112" s="776"/>
      <c r="E112" s="776"/>
      <c r="F112" s="776"/>
      <c r="G112" s="776"/>
      <c r="H112" s="760"/>
      <c r="I112" s="761"/>
    </row>
    <row r="113" spans="1:9" x14ac:dyDescent="0.2">
      <c r="A113" s="73"/>
      <c r="B113" s="752" t="s">
        <v>890</v>
      </c>
      <c r="C113" s="781"/>
      <c r="D113" s="781"/>
      <c r="E113" s="781"/>
      <c r="F113" s="781"/>
      <c r="G113" s="320"/>
      <c r="H113" s="750"/>
      <c r="I113" s="751"/>
    </row>
    <row r="114" spans="1:9" ht="25.5" x14ac:dyDescent="0.2">
      <c r="A114" s="68">
        <v>4</v>
      </c>
      <c r="B114" s="820" t="s">
        <v>574</v>
      </c>
      <c r="C114" s="820"/>
      <c r="D114" s="820"/>
      <c r="E114" s="820"/>
      <c r="F114" s="161" t="s">
        <v>563</v>
      </c>
      <c r="G114" s="311" t="s">
        <v>331</v>
      </c>
      <c r="H114" s="383" t="s">
        <v>563</v>
      </c>
      <c r="I114" s="401" t="s">
        <v>331</v>
      </c>
    </row>
    <row r="115" spans="1:9" x14ac:dyDescent="0.2">
      <c r="A115" s="68" t="s">
        <v>340</v>
      </c>
      <c r="B115" s="819" t="s">
        <v>908</v>
      </c>
      <c r="C115" s="819"/>
      <c r="D115" s="819"/>
      <c r="E115" s="819"/>
      <c r="F115" s="161">
        <f>F104</f>
        <v>3.1755555555555558E-2</v>
      </c>
      <c r="G115" s="321">
        <f>G104</f>
        <v>93.764946444444462</v>
      </c>
      <c r="H115" s="383">
        <f>H104</f>
        <v>3.1755555555555558E-2</v>
      </c>
      <c r="I115" s="409">
        <f>I104</f>
        <v>97.234240888888891</v>
      </c>
    </row>
    <row r="116" spans="1:9" x14ac:dyDescent="0.2">
      <c r="A116" s="68" t="s">
        <v>347</v>
      </c>
      <c r="B116" s="819" t="s">
        <v>912</v>
      </c>
      <c r="C116" s="819"/>
      <c r="D116" s="819"/>
      <c r="E116" s="819"/>
      <c r="F116" s="161"/>
      <c r="G116" s="325"/>
      <c r="H116" s="762"/>
      <c r="I116" s="763"/>
    </row>
    <row r="117" spans="1:9" x14ac:dyDescent="0.2">
      <c r="A117" s="132"/>
      <c r="B117" s="752" t="s">
        <v>352</v>
      </c>
      <c r="C117" s="781"/>
      <c r="D117" s="781"/>
      <c r="E117" s="788"/>
      <c r="F117" s="75"/>
      <c r="G117" s="317">
        <f>SUM(G115:G116)</f>
        <v>93.764946444444462</v>
      </c>
      <c r="H117" s="384"/>
      <c r="I117" s="403">
        <f>SUM(I115:I116)</f>
        <v>97.234240888888891</v>
      </c>
    </row>
    <row r="118" spans="1:9" x14ac:dyDescent="0.2">
      <c r="A118" s="78"/>
      <c r="B118" s="86"/>
      <c r="C118" s="86"/>
      <c r="D118" s="86"/>
      <c r="E118" s="86"/>
      <c r="F118" s="80"/>
      <c r="G118" s="326"/>
      <c r="H118" s="762"/>
      <c r="I118" s="763"/>
    </row>
    <row r="119" spans="1:9" x14ac:dyDescent="0.2">
      <c r="A119" s="73"/>
      <c r="B119" s="752" t="s">
        <v>888</v>
      </c>
      <c r="C119" s="781"/>
      <c r="D119" s="781"/>
      <c r="E119" s="781"/>
      <c r="F119" s="781"/>
      <c r="G119" s="320"/>
      <c r="H119" s="758"/>
      <c r="I119" s="759"/>
    </row>
    <row r="120" spans="1:9" x14ac:dyDescent="0.2">
      <c r="A120" s="68">
        <v>5</v>
      </c>
      <c r="B120" s="678" t="s">
        <v>338</v>
      </c>
      <c r="C120" s="793"/>
      <c r="D120" s="793"/>
      <c r="E120" s="793"/>
      <c r="F120" s="818"/>
      <c r="G120" s="311" t="s">
        <v>331</v>
      </c>
      <c r="H120" s="380"/>
      <c r="I120" s="401" t="s">
        <v>331</v>
      </c>
    </row>
    <row r="121" spans="1:9" x14ac:dyDescent="0.2">
      <c r="A121" s="68" t="s">
        <v>316</v>
      </c>
      <c r="B121" s="804" t="s">
        <v>339</v>
      </c>
      <c r="C121" s="679"/>
      <c r="D121" s="679"/>
      <c r="E121" s="679"/>
      <c r="F121" s="680"/>
      <c r="G121" s="327">
        <f>Uniformes!J8</f>
        <v>87.564999999999998</v>
      </c>
      <c r="H121" s="395"/>
      <c r="I121" s="413">
        <f>Uniformes!J8</f>
        <v>87.564999999999998</v>
      </c>
    </row>
    <row r="122" spans="1:9" x14ac:dyDescent="0.2">
      <c r="A122" s="68" t="s">
        <v>318</v>
      </c>
      <c r="B122" s="804" t="s">
        <v>583</v>
      </c>
      <c r="C122" s="679"/>
      <c r="D122" s="679"/>
      <c r="E122" s="679"/>
      <c r="F122" s="680"/>
      <c r="G122" s="327"/>
      <c r="H122" s="395"/>
      <c r="I122" s="414"/>
    </row>
    <row r="123" spans="1:9" x14ac:dyDescent="0.2">
      <c r="A123" s="78" t="s">
        <v>321</v>
      </c>
      <c r="B123" s="804" t="s">
        <v>584</v>
      </c>
      <c r="C123" s="679"/>
      <c r="D123" s="679"/>
      <c r="E123" s="679"/>
      <c r="F123" s="680"/>
      <c r="G123" s="327">
        <f>'Ferramentas - Equipts'!F110</f>
        <v>44.99</v>
      </c>
      <c r="H123" s="395"/>
      <c r="I123" s="414">
        <f>'Ferramentas - Equipts'!F110</f>
        <v>44.99</v>
      </c>
    </row>
    <row r="124" spans="1:9" x14ac:dyDescent="0.2">
      <c r="A124" s="78" t="s">
        <v>322</v>
      </c>
      <c r="B124" s="804" t="s">
        <v>554</v>
      </c>
      <c r="C124" s="679"/>
      <c r="D124" s="679"/>
      <c r="E124" s="679"/>
      <c r="F124" s="680"/>
      <c r="G124" s="327"/>
      <c r="H124" s="395"/>
      <c r="I124" s="414"/>
    </row>
    <row r="125" spans="1:9" x14ac:dyDescent="0.2">
      <c r="A125" s="73"/>
      <c r="B125" s="752" t="s">
        <v>352</v>
      </c>
      <c r="C125" s="781"/>
      <c r="D125" s="781"/>
      <c r="E125" s="781"/>
      <c r="F125" s="788"/>
      <c r="G125" s="317">
        <f>SUM(G121:G124)</f>
        <v>132.55500000000001</v>
      </c>
      <c r="H125" s="389"/>
      <c r="I125" s="403">
        <f>SUM(I121:I124)</f>
        <v>132.55500000000001</v>
      </c>
    </row>
    <row r="126" spans="1:9" x14ac:dyDescent="0.2">
      <c r="A126" s="845" t="s">
        <v>1039</v>
      </c>
      <c r="B126" s="846"/>
      <c r="C126" s="846"/>
      <c r="D126" s="846"/>
      <c r="E126" s="846"/>
      <c r="F126" s="846"/>
      <c r="G126" s="846"/>
      <c r="H126" s="760"/>
      <c r="I126" s="761"/>
    </row>
    <row r="127" spans="1:9" x14ac:dyDescent="0.2">
      <c r="A127" s="129"/>
      <c r="B127" s="84"/>
      <c r="C127" s="84"/>
      <c r="D127" s="84"/>
      <c r="E127" s="84"/>
      <c r="F127" s="80"/>
      <c r="G127" s="328"/>
      <c r="H127" s="760"/>
      <c r="I127" s="761"/>
    </row>
    <row r="128" spans="1:9" x14ac:dyDescent="0.2">
      <c r="A128" s="73"/>
      <c r="B128" s="752" t="s">
        <v>891</v>
      </c>
      <c r="C128" s="781"/>
      <c r="D128" s="781"/>
      <c r="E128" s="781"/>
      <c r="F128" s="781"/>
      <c r="G128" s="320"/>
      <c r="H128" s="750"/>
      <c r="I128" s="751"/>
    </row>
    <row r="129" spans="1:9" x14ac:dyDescent="0.2">
      <c r="A129" s="68">
        <v>6</v>
      </c>
      <c r="B129" s="820" t="s">
        <v>349</v>
      </c>
      <c r="C129" s="820"/>
      <c r="D129" s="820"/>
      <c r="E129" s="874" t="s">
        <v>563</v>
      </c>
      <c r="F129" s="874"/>
      <c r="G129" s="329" t="s">
        <v>331</v>
      </c>
      <c r="H129" s="396"/>
      <c r="I129" s="402" t="s">
        <v>331</v>
      </c>
    </row>
    <row r="130" spans="1:9" x14ac:dyDescent="0.2">
      <c r="A130" s="68" t="s">
        <v>316</v>
      </c>
      <c r="B130" s="819" t="s">
        <v>350</v>
      </c>
      <c r="C130" s="819"/>
      <c r="D130" s="819"/>
      <c r="E130" s="847">
        <f>ADM</f>
        <v>2.3199999999999998E-2</v>
      </c>
      <c r="F130" s="848"/>
      <c r="G130" s="327">
        <f>(G35+G81+G91+G117+G125)*E130</f>
        <v>123.27595635797591</v>
      </c>
      <c r="H130" s="395"/>
      <c r="I130" s="414">
        <f>(I35+I81+I91+I117+I125)*E130</f>
        <v>127.68420214596792</v>
      </c>
    </row>
    <row r="131" spans="1:9" x14ac:dyDescent="0.2">
      <c r="A131" s="68" t="s">
        <v>318</v>
      </c>
      <c r="B131" s="819" t="s">
        <v>576</v>
      </c>
      <c r="C131" s="819"/>
      <c r="D131" s="819"/>
      <c r="E131" s="847">
        <f>LUCRO_ENGEMIL</f>
        <v>2.3300000000000001E-2</v>
      </c>
      <c r="F131" s="848"/>
      <c r="G131" s="327">
        <f>(G35+G81+G91+G117+G125+G130)*E131</f>
        <v>126.67964802197011</v>
      </c>
      <c r="H131" s="395"/>
      <c r="I131" s="414">
        <f>(I35+I81+I91+I117+I125+I130)*E131</f>
        <v>131.20960699625331</v>
      </c>
    </row>
    <row r="132" spans="1:9" x14ac:dyDescent="0.2">
      <c r="A132" s="68" t="s">
        <v>321</v>
      </c>
      <c r="B132" s="819" t="s">
        <v>351</v>
      </c>
      <c r="C132" s="819"/>
      <c r="D132" s="819"/>
      <c r="E132" s="847">
        <f>SUM(E133:F134)</f>
        <v>0.10150000000000001</v>
      </c>
      <c r="F132" s="848"/>
      <c r="G132" s="325"/>
      <c r="H132" s="397"/>
      <c r="I132" s="415"/>
    </row>
    <row r="133" spans="1:9" ht="26.25" customHeight="1" x14ac:dyDescent="0.2">
      <c r="A133" s="85"/>
      <c r="B133" s="819" t="s">
        <v>971</v>
      </c>
      <c r="C133" s="819"/>
      <c r="D133" s="819"/>
      <c r="E133" s="847">
        <v>8.1500000000000003E-2</v>
      </c>
      <c r="F133" s="848"/>
      <c r="G133" s="327">
        <f>E133*G147</f>
        <v>504.65366127149844</v>
      </c>
      <c r="H133" s="395"/>
      <c r="I133" s="416">
        <f>E133*I147</f>
        <v>522.69965695807662</v>
      </c>
    </row>
    <row r="134" spans="1:9" ht="12.75" customHeight="1" x14ac:dyDescent="0.2">
      <c r="A134" s="85"/>
      <c r="B134" s="819" t="s">
        <v>972</v>
      </c>
      <c r="C134" s="819"/>
      <c r="D134" s="819"/>
      <c r="E134" s="847">
        <v>0.02</v>
      </c>
      <c r="F134" s="848"/>
      <c r="G134" s="327">
        <f>E134*G147</f>
        <v>123.84138926907937</v>
      </c>
      <c r="H134" s="395"/>
      <c r="I134" s="416">
        <f>E134*I147</f>
        <v>128.26985446823966</v>
      </c>
    </row>
    <row r="135" spans="1:9" x14ac:dyDescent="0.2">
      <c r="A135" s="73"/>
      <c r="B135" s="769" t="s">
        <v>352</v>
      </c>
      <c r="C135" s="769"/>
      <c r="D135" s="769"/>
      <c r="E135" s="849">
        <f>E130+E131+E132</f>
        <v>0.14800000000000002</v>
      </c>
      <c r="F135" s="788"/>
      <c r="G135" s="330">
        <f>SUM(G130:G134)</f>
        <v>878.4506549205239</v>
      </c>
      <c r="H135" s="389"/>
      <c r="I135" s="403">
        <f>SUM(I130:I134)</f>
        <v>909.86332056853757</v>
      </c>
    </row>
    <row r="136" spans="1:9" x14ac:dyDescent="0.2">
      <c r="A136" s="845" t="s">
        <v>1036</v>
      </c>
      <c r="B136" s="846"/>
      <c r="C136" s="846"/>
      <c r="D136" s="846"/>
      <c r="E136" s="846"/>
      <c r="F136" s="846"/>
      <c r="G136" s="846"/>
      <c r="H136" s="760"/>
      <c r="I136" s="761"/>
    </row>
    <row r="137" spans="1:9" x14ac:dyDescent="0.2">
      <c r="A137" s="845" t="s">
        <v>1040</v>
      </c>
      <c r="B137" s="846"/>
      <c r="C137" s="846"/>
      <c r="D137" s="846"/>
      <c r="E137" s="846"/>
      <c r="F137" s="846"/>
      <c r="G137" s="846"/>
      <c r="H137" s="760"/>
      <c r="I137" s="761"/>
    </row>
    <row r="138" spans="1:9" x14ac:dyDescent="0.2">
      <c r="A138" s="132"/>
      <c r="B138" s="781" t="s">
        <v>577</v>
      </c>
      <c r="C138" s="781"/>
      <c r="D138" s="781"/>
      <c r="E138" s="781"/>
      <c r="F138" s="781"/>
      <c r="G138" s="320"/>
      <c r="H138" s="750"/>
      <c r="I138" s="751"/>
    </row>
    <row r="139" spans="1:9" x14ac:dyDescent="0.2">
      <c r="A139" s="87"/>
      <c r="B139" s="791" t="s">
        <v>353</v>
      </c>
      <c r="C139" s="792"/>
      <c r="D139" s="792"/>
      <c r="E139" s="792"/>
      <c r="F139" s="809"/>
      <c r="G139" s="310" t="s">
        <v>354</v>
      </c>
      <c r="H139" s="398"/>
      <c r="I139" s="417" t="s">
        <v>354</v>
      </c>
    </row>
    <row r="140" spans="1:9" x14ac:dyDescent="0.2">
      <c r="A140" s="68" t="s">
        <v>316</v>
      </c>
      <c r="B140" s="844" t="s">
        <v>967</v>
      </c>
      <c r="C140" s="842"/>
      <c r="D140" s="842"/>
      <c r="E140" s="842"/>
      <c r="F140" s="843"/>
      <c r="G140" s="331">
        <f>G35</f>
        <v>2952.71</v>
      </c>
      <c r="H140" s="399"/>
      <c r="I140" s="418">
        <f>I35</f>
        <v>3061.96</v>
      </c>
    </row>
    <row r="141" spans="1:9" x14ac:dyDescent="0.2">
      <c r="A141" s="68" t="s">
        <v>318</v>
      </c>
      <c r="B141" s="844" t="s">
        <v>948</v>
      </c>
      <c r="C141" s="842"/>
      <c r="D141" s="842"/>
      <c r="E141" s="842"/>
      <c r="F141" s="843"/>
      <c r="G141" s="331">
        <f>G81</f>
        <v>1997.1173975637666</v>
      </c>
      <c r="H141" s="399"/>
      <c r="I141" s="418">
        <f>I81</f>
        <v>2069.3435989130667</v>
      </c>
    </row>
    <row r="142" spans="1:9" x14ac:dyDescent="0.2">
      <c r="A142" s="68" t="s">
        <v>321</v>
      </c>
      <c r="B142" s="844" t="s">
        <v>949</v>
      </c>
      <c r="C142" s="842"/>
      <c r="D142" s="842"/>
      <c r="E142" s="842"/>
      <c r="F142" s="843"/>
      <c r="G142" s="331">
        <f>G91</f>
        <v>137.4714645252337</v>
      </c>
      <c r="H142" s="399"/>
      <c r="I142" s="418">
        <f>I91</f>
        <v>142.53656304148899</v>
      </c>
    </row>
    <row r="143" spans="1:9" x14ac:dyDescent="0.2">
      <c r="A143" s="68" t="s">
        <v>322</v>
      </c>
      <c r="B143" s="844" t="s">
        <v>950</v>
      </c>
      <c r="C143" s="842"/>
      <c r="D143" s="842"/>
      <c r="E143" s="842"/>
      <c r="F143" s="843"/>
      <c r="G143" s="331">
        <f>G117</f>
        <v>93.764946444444462</v>
      </c>
      <c r="H143" s="399"/>
      <c r="I143" s="418">
        <f>I117</f>
        <v>97.234240888888891</v>
      </c>
    </row>
    <row r="144" spans="1:9" x14ac:dyDescent="0.2">
      <c r="A144" s="68" t="s">
        <v>333</v>
      </c>
      <c r="B144" s="842" t="s">
        <v>969</v>
      </c>
      <c r="C144" s="842"/>
      <c r="D144" s="842"/>
      <c r="E144" s="842"/>
      <c r="F144" s="843"/>
      <c r="G144" s="331">
        <f>G125</f>
        <v>132.55500000000001</v>
      </c>
      <c r="H144" s="399"/>
      <c r="I144" s="418">
        <f>I125</f>
        <v>132.55500000000001</v>
      </c>
    </row>
    <row r="145" spans="1:9" x14ac:dyDescent="0.2">
      <c r="A145" s="137"/>
      <c r="B145" s="822" t="s">
        <v>578</v>
      </c>
      <c r="C145" s="822"/>
      <c r="D145" s="822"/>
      <c r="E145" s="822"/>
      <c r="F145" s="823"/>
      <c r="G145" s="331">
        <f>SUM(G140:G144)</f>
        <v>5313.6188085334452</v>
      </c>
      <c r="H145" s="399"/>
      <c r="I145" s="418">
        <f>SUM(I140:I144)</f>
        <v>5503.629402843445</v>
      </c>
    </row>
    <row r="146" spans="1:9" x14ac:dyDescent="0.2">
      <c r="A146" s="136" t="s">
        <v>334</v>
      </c>
      <c r="B146" s="844" t="s">
        <v>952</v>
      </c>
      <c r="C146" s="842"/>
      <c r="D146" s="842"/>
      <c r="E146" s="842"/>
      <c r="F146" s="843"/>
      <c r="G146" s="331">
        <f>G135</f>
        <v>878.4506549205239</v>
      </c>
      <c r="H146" s="399"/>
      <c r="I146" s="418">
        <f>I135</f>
        <v>909.86332056853757</v>
      </c>
    </row>
    <row r="147" spans="1:9" ht="16.5" thickBot="1" x14ac:dyDescent="0.25">
      <c r="A147" s="89"/>
      <c r="B147" s="766" t="s">
        <v>355</v>
      </c>
      <c r="C147" s="767"/>
      <c r="D147" s="767"/>
      <c r="E147" s="767"/>
      <c r="F147" s="768"/>
      <c r="G147" s="428">
        <f>(G130+G131+G145)/(1-E132)</f>
        <v>6192.0694634539686</v>
      </c>
      <c r="H147" s="429"/>
      <c r="I147" s="430">
        <f>(I130+I131+I145)/(1-E132)</f>
        <v>6413.4927234119832</v>
      </c>
    </row>
  </sheetData>
  <mergeCells count="221">
    <mergeCell ref="A4:G4"/>
    <mergeCell ref="A9:G9"/>
    <mergeCell ref="A5:G5"/>
    <mergeCell ref="A8:G8"/>
    <mergeCell ref="A6:G6"/>
    <mergeCell ref="B132:D132"/>
    <mergeCell ref="E132:F132"/>
    <mergeCell ref="A126:G126"/>
    <mergeCell ref="B129:D129"/>
    <mergeCell ref="E129:F129"/>
    <mergeCell ref="A59:G59"/>
    <mergeCell ref="A60:G60"/>
    <mergeCell ref="A61:G61"/>
    <mergeCell ref="A63:G63"/>
    <mergeCell ref="B64:F64"/>
    <mergeCell ref="B103:E103"/>
    <mergeCell ref="B104:E104"/>
    <mergeCell ref="A95:G95"/>
    <mergeCell ref="B66:F66"/>
    <mergeCell ref="B67:F67"/>
    <mergeCell ref="B68:F68"/>
    <mergeCell ref="B69:F69"/>
    <mergeCell ref="B70:F70"/>
    <mergeCell ref="B80:F80"/>
    <mergeCell ref="H1:I1"/>
    <mergeCell ref="A19:G19"/>
    <mergeCell ref="A20:G20"/>
    <mergeCell ref="A44:G44"/>
    <mergeCell ref="H23:I23"/>
    <mergeCell ref="H24:I24"/>
    <mergeCell ref="H25:I25"/>
    <mergeCell ref="H26:I26"/>
    <mergeCell ref="H10:I10"/>
    <mergeCell ref="H11:I11"/>
    <mergeCell ref="H12:I12"/>
    <mergeCell ref="H13:I13"/>
    <mergeCell ref="H14:I14"/>
    <mergeCell ref="H15:I15"/>
    <mergeCell ref="H16:I16"/>
    <mergeCell ref="H17:I18"/>
    <mergeCell ref="H22:I22"/>
    <mergeCell ref="H20:I21"/>
    <mergeCell ref="H19:I19"/>
    <mergeCell ref="A7:G7"/>
    <mergeCell ref="A18:E18"/>
    <mergeCell ref="A17:E17"/>
    <mergeCell ref="B23:E23"/>
    <mergeCell ref="F23:G23"/>
    <mergeCell ref="B144:F144"/>
    <mergeCell ref="B146:F146"/>
    <mergeCell ref="B71:F71"/>
    <mergeCell ref="B139:F139"/>
    <mergeCell ref="B140:F140"/>
    <mergeCell ref="B141:F141"/>
    <mergeCell ref="B142:F142"/>
    <mergeCell ref="B143:F143"/>
    <mergeCell ref="A136:G136"/>
    <mergeCell ref="A137:G137"/>
    <mergeCell ref="B133:D133"/>
    <mergeCell ref="E133:F133"/>
    <mergeCell ref="B134:D134"/>
    <mergeCell ref="E134:F134"/>
    <mergeCell ref="E135:F135"/>
    <mergeCell ref="B130:D130"/>
    <mergeCell ref="E130:F130"/>
    <mergeCell ref="B131:D131"/>
    <mergeCell ref="E131:F131"/>
    <mergeCell ref="B108:E108"/>
    <mergeCell ref="B99:E99"/>
    <mergeCell ref="B100:E100"/>
    <mergeCell ref="B101:E101"/>
    <mergeCell ref="B102:E102"/>
    <mergeCell ref="B145:F145"/>
    <mergeCell ref="B125:F125"/>
    <mergeCell ref="B43:E43"/>
    <mergeCell ref="B35:E35"/>
    <mergeCell ref="A36:G36"/>
    <mergeCell ref="A1:G1"/>
    <mergeCell ref="A2:G3"/>
    <mergeCell ref="F14:G14"/>
    <mergeCell ref="A14:E14"/>
    <mergeCell ref="F17:G18"/>
    <mergeCell ref="F16:G16"/>
    <mergeCell ref="B30:E30"/>
    <mergeCell ref="B31:E31"/>
    <mergeCell ref="B32:E32"/>
    <mergeCell ref="B33:E33"/>
    <mergeCell ref="B25:E25"/>
    <mergeCell ref="F25:G25"/>
    <mergeCell ref="B26:E26"/>
    <mergeCell ref="F26:G26"/>
    <mergeCell ref="A39:G39"/>
    <mergeCell ref="A21:G21"/>
    <mergeCell ref="A82:G82"/>
    <mergeCell ref="B81:F81"/>
    <mergeCell ref="B72:F72"/>
    <mergeCell ref="B41:E41"/>
    <mergeCell ref="B114:E114"/>
    <mergeCell ref="B115:E115"/>
    <mergeCell ref="B116:E116"/>
    <mergeCell ref="B109:E109"/>
    <mergeCell ref="A111:G111"/>
    <mergeCell ref="F22:G22"/>
    <mergeCell ref="A46:G46"/>
    <mergeCell ref="B138:F138"/>
    <mergeCell ref="A73:G73"/>
    <mergeCell ref="A74:G74"/>
    <mergeCell ref="B77:F77"/>
    <mergeCell ref="A62:E62"/>
    <mergeCell ref="A47:E47"/>
    <mergeCell ref="A37:E37"/>
    <mergeCell ref="B54:E54"/>
    <mergeCell ref="B55:E55"/>
    <mergeCell ref="B56:E56"/>
    <mergeCell ref="B57:E57"/>
    <mergeCell ref="B58:E58"/>
    <mergeCell ref="B78:F78"/>
    <mergeCell ref="B65:F65"/>
    <mergeCell ref="B120:F120"/>
    <mergeCell ref="B121:F121"/>
    <mergeCell ref="B122:F122"/>
    <mergeCell ref="B123:F123"/>
    <mergeCell ref="B124:F124"/>
    <mergeCell ref="A112:G112"/>
    <mergeCell ref="B22:E22"/>
    <mergeCell ref="A45:G45"/>
    <mergeCell ref="B76:F76"/>
    <mergeCell ref="B113:F113"/>
    <mergeCell ref="B24:E24"/>
    <mergeCell ref="F24:G24"/>
    <mergeCell ref="B28:E28"/>
    <mergeCell ref="B29:E29"/>
    <mergeCell ref="B119:F119"/>
    <mergeCell ref="B34:E34"/>
    <mergeCell ref="A48:G48"/>
    <mergeCell ref="B49:E49"/>
    <mergeCell ref="B50:E50"/>
    <mergeCell ref="B51:E51"/>
    <mergeCell ref="B52:E52"/>
    <mergeCell ref="B53:E53"/>
    <mergeCell ref="B42:E42"/>
    <mergeCell ref="B40:F40"/>
    <mergeCell ref="B79:F79"/>
    <mergeCell ref="B97:E97"/>
    <mergeCell ref="B98:E98"/>
    <mergeCell ref="B89:E89"/>
    <mergeCell ref="B90:E90"/>
    <mergeCell ref="A94:G94"/>
    <mergeCell ref="B91:E91"/>
    <mergeCell ref="B84:E84"/>
    <mergeCell ref="B85:E85"/>
    <mergeCell ref="B86:E86"/>
    <mergeCell ref="B87:E87"/>
    <mergeCell ref="B88:E88"/>
    <mergeCell ref="H111:I111"/>
    <mergeCell ref="H62:I62"/>
    <mergeCell ref="H63:I63"/>
    <mergeCell ref="H73:I73"/>
    <mergeCell ref="H74:I74"/>
    <mergeCell ref="H75:I75"/>
    <mergeCell ref="H76:I76"/>
    <mergeCell ref="H82:I82"/>
    <mergeCell ref="H83:I83"/>
    <mergeCell ref="H93:I93"/>
    <mergeCell ref="H5:I9"/>
    <mergeCell ref="H36:I36"/>
    <mergeCell ref="H37:I37"/>
    <mergeCell ref="H38:I38"/>
    <mergeCell ref="H39:I39"/>
    <mergeCell ref="H59:I59"/>
    <mergeCell ref="H60:I60"/>
    <mergeCell ref="H61:I61"/>
    <mergeCell ref="H110:I110"/>
    <mergeCell ref="B147:F147"/>
    <mergeCell ref="B135:D135"/>
    <mergeCell ref="B10:E10"/>
    <mergeCell ref="F10:G10"/>
    <mergeCell ref="B11:E11"/>
    <mergeCell ref="F11:G11"/>
    <mergeCell ref="A16:D16"/>
    <mergeCell ref="B27:E27"/>
    <mergeCell ref="B38:E38"/>
    <mergeCell ref="B12:E12"/>
    <mergeCell ref="F12:G12"/>
    <mergeCell ref="B13:E13"/>
    <mergeCell ref="F13:G13"/>
    <mergeCell ref="A15:D15"/>
    <mergeCell ref="F15:G15"/>
    <mergeCell ref="B110:E110"/>
    <mergeCell ref="A105:G105"/>
    <mergeCell ref="B117:E117"/>
    <mergeCell ref="A106:G106"/>
    <mergeCell ref="A107:G107"/>
    <mergeCell ref="B128:F128"/>
    <mergeCell ref="A96:G96"/>
    <mergeCell ref="B83:E83"/>
    <mergeCell ref="B93:E93"/>
    <mergeCell ref="H2:I4"/>
    <mergeCell ref="H138:I138"/>
    <mergeCell ref="F27:G27"/>
    <mergeCell ref="H27:I27"/>
    <mergeCell ref="F38:G38"/>
    <mergeCell ref="F83:G83"/>
    <mergeCell ref="F110:G110"/>
    <mergeCell ref="H119:I119"/>
    <mergeCell ref="H112:I112"/>
    <mergeCell ref="H113:I113"/>
    <mergeCell ref="H116:I116"/>
    <mergeCell ref="H118:I118"/>
    <mergeCell ref="H126:I126"/>
    <mergeCell ref="H127:I127"/>
    <mergeCell ref="H128:I128"/>
    <mergeCell ref="H136:I136"/>
    <mergeCell ref="H137:I137"/>
    <mergeCell ref="H94:I94"/>
    <mergeCell ref="H95:I95"/>
    <mergeCell ref="H96:I96"/>
    <mergeCell ref="H105:I105"/>
    <mergeCell ref="H106:I106"/>
    <mergeCell ref="H107:I107"/>
    <mergeCell ref="H109:I109"/>
  </mergeCells>
  <printOptions horizontalCentered="1"/>
  <pageMargins left="0.53149606299212604" right="0.53149606299212604" top="1.1811023622047245" bottom="0.98425196850393704" header="0" footer="0"/>
  <pageSetup paperSize="9" scale="65"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J147"/>
  <sheetViews>
    <sheetView view="pageBreakPreview" topLeftCell="A44" zoomScale="120" zoomScaleNormal="150" zoomScaleSheetLayoutView="120" workbookViewId="0">
      <selection activeCell="H53" sqref="H53"/>
    </sheetView>
  </sheetViews>
  <sheetFormatPr defaultRowHeight="12.75" x14ac:dyDescent="0.2"/>
  <cols>
    <col min="1" max="2" width="9.140625" style="91"/>
    <col min="3" max="3" width="11.85546875" style="91" customWidth="1"/>
    <col min="4" max="4" width="21.85546875" style="91" customWidth="1"/>
    <col min="5" max="5" width="32.5703125" style="91" customWidth="1"/>
    <col min="6" max="6" width="12" style="144" customWidth="1"/>
    <col min="7" max="7" width="16.85546875" style="91" customWidth="1"/>
    <col min="8" max="8" width="12" style="400" customWidth="1"/>
    <col min="9" max="9" width="16.85546875" style="427" customWidth="1"/>
    <col min="10" max="16384" width="9.140625" style="91"/>
  </cols>
  <sheetData>
    <row r="1" spans="1:9" ht="12.75" customHeight="1" thickBot="1" x14ac:dyDescent="0.25">
      <c r="A1" s="826"/>
      <c r="B1" s="826"/>
      <c r="C1" s="826"/>
      <c r="D1" s="826"/>
      <c r="E1" s="826"/>
      <c r="F1" s="826"/>
      <c r="G1" s="826"/>
      <c r="H1" s="894"/>
      <c r="I1" s="895"/>
    </row>
    <row r="2" spans="1:9" ht="12.75" customHeight="1" x14ac:dyDescent="0.2">
      <c r="A2" s="827" t="s">
        <v>1111</v>
      </c>
      <c r="B2" s="828"/>
      <c r="C2" s="828"/>
      <c r="D2" s="828"/>
      <c r="E2" s="828"/>
      <c r="F2" s="828"/>
      <c r="G2" s="828"/>
      <c r="H2" s="739" t="s">
        <v>1004</v>
      </c>
      <c r="I2" s="741"/>
    </row>
    <row r="3" spans="1:9" ht="56.25" customHeight="1" thickBot="1" x14ac:dyDescent="0.25">
      <c r="A3" s="829"/>
      <c r="B3" s="830"/>
      <c r="C3" s="830"/>
      <c r="D3" s="830"/>
      <c r="E3" s="830"/>
      <c r="F3" s="830"/>
      <c r="G3" s="830"/>
      <c r="H3" s="742"/>
      <c r="I3" s="744"/>
    </row>
    <row r="4" spans="1:9" ht="61.5" customHeight="1" x14ac:dyDescent="0.2">
      <c r="A4" s="883" t="s">
        <v>579</v>
      </c>
      <c r="B4" s="883"/>
      <c r="C4" s="883"/>
      <c r="D4" s="883"/>
      <c r="E4" s="883"/>
      <c r="F4" s="883"/>
      <c r="G4" s="884"/>
      <c r="H4" s="748"/>
      <c r="I4" s="749"/>
    </row>
    <row r="5" spans="1:9" ht="12.75" customHeight="1" x14ac:dyDescent="0.2">
      <c r="A5" s="785" t="s">
        <v>927</v>
      </c>
      <c r="B5" s="786"/>
      <c r="C5" s="786"/>
      <c r="D5" s="786"/>
      <c r="E5" s="786"/>
      <c r="F5" s="786"/>
      <c r="G5" s="786"/>
      <c r="H5" s="900" t="s">
        <v>1141</v>
      </c>
      <c r="I5" s="901"/>
    </row>
    <row r="6" spans="1:9" x14ac:dyDescent="0.2">
      <c r="A6" s="785" t="s">
        <v>928</v>
      </c>
      <c r="B6" s="786"/>
      <c r="C6" s="786"/>
      <c r="D6" s="786"/>
      <c r="E6" s="786"/>
      <c r="F6" s="786"/>
      <c r="G6" s="786"/>
      <c r="H6" s="902"/>
      <c r="I6" s="903"/>
    </row>
    <row r="7" spans="1:9" ht="12.75" customHeight="1" x14ac:dyDescent="0.2">
      <c r="A7" s="785" t="s">
        <v>929</v>
      </c>
      <c r="B7" s="786"/>
      <c r="C7" s="786"/>
      <c r="D7" s="786"/>
      <c r="E7" s="786"/>
      <c r="F7" s="786"/>
      <c r="G7" s="786"/>
      <c r="H7" s="902"/>
      <c r="I7" s="903"/>
    </row>
    <row r="8" spans="1:9" ht="12.75" customHeight="1" x14ac:dyDescent="0.2">
      <c r="A8" s="685" t="s">
        <v>1147</v>
      </c>
      <c r="B8" s="686"/>
      <c r="C8" s="686"/>
      <c r="D8" s="686"/>
      <c r="E8" s="686"/>
      <c r="F8" s="686"/>
      <c r="G8" s="686"/>
      <c r="H8" s="902"/>
      <c r="I8" s="903"/>
    </row>
    <row r="9" spans="1:9" x14ac:dyDescent="0.2">
      <c r="A9" s="785" t="s">
        <v>546</v>
      </c>
      <c r="B9" s="786"/>
      <c r="C9" s="786"/>
      <c r="D9" s="786"/>
      <c r="E9" s="786"/>
      <c r="F9" s="786"/>
      <c r="G9" s="786"/>
      <c r="H9" s="904"/>
      <c r="I9" s="905"/>
    </row>
    <row r="10" spans="1:9" x14ac:dyDescent="0.2">
      <c r="A10" s="68" t="s">
        <v>316</v>
      </c>
      <c r="B10" s="770" t="s">
        <v>317</v>
      </c>
      <c r="C10" s="771"/>
      <c r="D10" s="771"/>
      <c r="E10" s="772"/>
      <c r="F10" s="773">
        <v>43580</v>
      </c>
      <c r="G10" s="774"/>
      <c r="H10" s="640">
        <v>43669</v>
      </c>
      <c r="I10" s="641"/>
    </row>
    <row r="11" spans="1:9" x14ac:dyDescent="0.2">
      <c r="A11" s="68" t="s">
        <v>318</v>
      </c>
      <c r="B11" s="770" t="s">
        <v>319</v>
      </c>
      <c r="C11" s="771"/>
      <c r="D11" s="771"/>
      <c r="E11" s="772"/>
      <c r="F11" s="775" t="s">
        <v>320</v>
      </c>
      <c r="G11" s="776"/>
      <c r="H11" s="642" t="s">
        <v>320</v>
      </c>
      <c r="I11" s="643"/>
    </row>
    <row r="12" spans="1:9" ht="21" customHeight="1" x14ac:dyDescent="0.2">
      <c r="A12" s="69" t="s">
        <v>321</v>
      </c>
      <c r="B12" s="886" t="s">
        <v>605</v>
      </c>
      <c r="C12" s="887"/>
      <c r="D12" s="887"/>
      <c r="E12" s="888"/>
      <c r="F12" s="785" t="s">
        <v>879</v>
      </c>
      <c r="G12" s="786"/>
      <c r="H12" s="858" t="s">
        <v>1151</v>
      </c>
      <c r="I12" s="859"/>
    </row>
    <row r="13" spans="1:9" x14ac:dyDescent="0.2">
      <c r="A13" s="68" t="s">
        <v>322</v>
      </c>
      <c r="B13" s="770" t="s">
        <v>1140</v>
      </c>
      <c r="C13" s="771"/>
      <c r="D13" s="771"/>
      <c r="E13" s="772"/>
      <c r="F13" s="775">
        <v>24</v>
      </c>
      <c r="G13" s="776"/>
      <c r="H13" s="860">
        <v>24</v>
      </c>
      <c r="I13" s="861"/>
    </row>
    <row r="14" spans="1:9" x14ac:dyDescent="0.2">
      <c r="A14" s="752" t="s">
        <v>547</v>
      </c>
      <c r="B14" s="781"/>
      <c r="C14" s="781"/>
      <c r="D14" s="781"/>
      <c r="E14" s="781"/>
      <c r="F14" s="781"/>
      <c r="G14" s="781"/>
      <c r="H14" s="754"/>
      <c r="I14" s="755"/>
    </row>
    <row r="15" spans="1:9" ht="29.25" customHeight="1" x14ac:dyDescent="0.2">
      <c r="A15" s="787" t="s">
        <v>323</v>
      </c>
      <c r="B15" s="787"/>
      <c r="C15" s="787"/>
      <c r="D15" s="787"/>
      <c r="E15" s="314" t="s">
        <v>324</v>
      </c>
      <c r="F15" s="718" t="s">
        <v>898</v>
      </c>
      <c r="G15" s="719"/>
      <c r="H15" s="648" t="s">
        <v>898</v>
      </c>
      <c r="I15" s="649"/>
    </row>
    <row r="16" spans="1:9" ht="18" customHeight="1" x14ac:dyDescent="0.2">
      <c r="A16" s="777" t="s">
        <v>939</v>
      </c>
      <c r="B16" s="778"/>
      <c r="C16" s="778"/>
      <c r="D16" s="779"/>
      <c r="E16" s="78" t="s">
        <v>325</v>
      </c>
      <c r="F16" s="820">
        <v>2</v>
      </c>
      <c r="G16" s="791"/>
      <c r="H16" s="800">
        <v>2</v>
      </c>
      <c r="I16" s="801"/>
    </row>
    <row r="17" spans="1:9" ht="21" customHeight="1" x14ac:dyDescent="0.2">
      <c r="A17" s="789" t="s">
        <v>1112</v>
      </c>
      <c r="B17" s="790"/>
      <c r="C17" s="790"/>
      <c r="D17" s="790"/>
      <c r="E17" s="790"/>
      <c r="F17" s="831"/>
      <c r="G17" s="832"/>
      <c r="H17" s="864"/>
      <c r="I17" s="865"/>
    </row>
    <row r="18" spans="1:9" ht="23.25" customHeight="1" x14ac:dyDescent="0.2">
      <c r="A18" s="789" t="s">
        <v>1113</v>
      </c>
      <c r="B18" s="790"/>
      <c r="C18" s="790"/>
      <c r="D18" s="790"/>
      <c r="E18" s="790"/>
      <c r="F18" s="833"/>
      <c r="G18" s="834"/>
      <c r="H18" s="864"/>
      <c r="I18" s="865"/>
    </row>
    <row r="19" spans="1:9" x14ac:dyDescent="0.2">
      <c r="A19" s="885" t="s">
        <v>901</v>
      </c>
      <c r="B19" s="885"/>
      <c r="C19" s="885"/>
      <c r="D19" s="885"/>
      <c r="E19" s="885"/>
      <c r="F19" s="885"/>
      <c r="G19" s="785"/>
      <c r="H19" s="898"/>
      <c r="I19" s="899"/>
    </row>
    <row r="20" spans="1:9" x14ac:dyDescent="0.2">
      <c r="A20" s="836" t="s">
        <v>326</v>
      </c>
      <c r="B20" s="836"/>
      <c r="C20" s="836"/>
      <c r="D20" s="836"/>
      <c r="E20" s="836"/>
      <c r="F20" s="836"/>
      <c r="G20" s="837"/>
      <c r="H20" s="868"/>
      <c r="I20" s="869"/>
    </row>
    <row r="21" spans="1:9" x14ac:dyDescent="0.2">
      <c r="A21" s="836" t="s">
        <v>327</v>
      </c>
      <c r="B21" s="836"/>
      <c r="C21" s="836"/>
      <c r="D21" s="836"/>
      <c r="E21" s="836"/>
      <c r="F21" s="836"/>
      <c r="G21" s="837"/>
      <c r="H21" s="868"/>
      <c r="I21" s="869"/>
    </row>
    <row r="22" spans="1:9" ht="30" customHeight="1" x14ac:dyDescent="0.2">
      <c r="A22" s="68">
        <v>1</v>
      </c>
      <c r="B22" s="810" t="s">
        <v>328</v>
      </c>
      <c r="C22" s="811"/>
      <c r="D22" s="811"/>
      <c r="E22" s="812"/>
      <c r="F22" s="785" t="s">
        <v>609</v>
      </c>
      <c r="G22" s="786"/>
      <c r="H22" s="866" t="s">
        <v>609</v>
      </c>
      <c r="I22" s="867"/>
    </row>
    <row r="23" spans="1:9" x14ac:dyDescent="0.2">
      <c r="A23" s="68">
        <v>2</v>
      </c>
      <c r="B23" s="810" t="s">
        <v>549</v>
      </c>
      <c r="C23" s="811"/>
      <c r="D23" s="811"/>
      <c r="E23" s="812"/>
      <c r="F23" s="752" t="s">
        <v>585</v>
      </c>
      <c r="G23" s="781"/>
      <c r="H23" s="750" t="s">
        <v>585</v>
      </c>
      <c r="I23" s="751"/>
    </row>
    <row r="24" spans="1:9" x14ac:dyDescent="0.2">
      <c r="A24" s="69">
        <v>3</v>
      </c>
      <c r="B24" s="813" t="s">
        <v>550</v>
      </c>
      <c r="C24" s="814"/>
      <c r="D24" s="814"/>
      <c r="E24" s="815"/>
      <c r="F24" s="816">
        <v>1838.43</v>
      </c>
      <c r="G24" s="817"/>
      <c r="H24" s="896">
        <v>1985.5</v>
      </c>
      <c r="I24" s="897"/>
    </row>
    <row r="25" spans="1:9" ht="15" customHeight="1" x14ac:dyDescent="0.2">
      <c r="A25" s="68">
        <v>4</v>
      </c>
      <c r="B25" s="810" t="s">
        <v>329</v>
      </c>
      <c r="C25" s="811"/>
      <c r="D25" s="811"/>
      <c r="E25" s="812"/>
      <c r="F25" s="785" t="str">
        <f>A16</f>
        <v xml:space="preserve"> Técnico(a) Eletrônico em Geral</v>
      </c>
      <c r="G25" s="786"/>
      <c r="H25" s="866" t="str">
        <f>A16</f>
        <v xml:space="preserve"> Técnico(a) Eletrônico em Geral</v>
      </c>
      <c r="I25" s="867"/>
    </row>
    <row r="26" spans="1:9" x14ac:dyDescent="0.2">
      <c r="A26" s="68">
        <v>5</v>
      </c>
      <c r="B26" s="810" t="s">
        <v>608</v>
      </c>
      <c r="C26" s="811"/>
      <c r="D26" s="811"/>
      <c r="E26" s="812"/>
      <c r="F26" s="889" t="s">
        <v>610</v>
      </c>
      <c r="G26" s="890"/>
      <c r="H26" s="856" t="s">
        <v>610</v>
      </c>
      <c r="I26" s="857"/>
    </row>
    <row r="27" spans="1:9" x14ac:dyDescent="0.2">
      <c r="A27" s="70"/>
      <c r="B27" s="891" t="s">
        <v>973</v>
      </c>
      <c r="C27" s="892"/>
      <c r="D27" s="892"/>
      <c r="E27" s="892"/>
      <c r="F27" s="74"/>
      <c r="G27" s="316"/>
      <c r="H27" s="419"/>
      <c r="I27" s="423"/>
    </row>
    <row r="28" spans="1:9" x14ac:dyDescent="0.2">
      <c r="A28" s="68">
        <v>1</v>
      </c>
      <c r="B28" s="791" t="s">
        <v>330</v>
      </c>
      <c r="C28" s="792"/>
      <c r="D28" s="792"/>
      <c r="E28" s="809"/>
      <c r="F28" s="160" t="s">
        <v>341</v>
      </c>
      <c r="G28" s="311" t="s">
        <v>331</v>
      </c>
      <c r="H28" s="380" t="s">
        <v>341</v>
      </c>
      <c r="I28" s="401" t="s">
        <v>331</v>
      </c>
    </row>
    <row r="29" spans="1:9" x14ac:dyDescent="0.2">
      <c r="A29" s="68" t="s">
        <v>316</v>
      </c>
      <c r="B29" s="804" t="s">
        <v>590</v>
      </c>
      <c r="C29" s="679"/>
      <c r="D29" s="679"/>
      <c r="E29" s="680"/>
      <c r="F29" s="255">
        <v>1</v>
      </c>
      <c r="G29" s="327">
        <f>F24</f>
        <v>1838.43</v>
      </c>
      <c r="H29" s="382">
        <v>1</v>
      </c>
      <c r="I29" s="414">
        <f>H24</f>
        <v>1985.5</v>
      </c>
    </row>
    <row r="30" spans="1:9" x14ac:dyDescent="0.2">
      <c r="A30" s="68" t="s">
        <v>318</v>
      </c>
      <c r="B30" s="804" t="s">
        <v>940</v>
      </c>
      <c r="C30" s="679"/>
      <c r="D30" s="679"/>
      <c r="E30" s="680"/>
      <c r="F30" s="255">
        <v>0</v>
      </c>
      <c r="G30" s="319">
        <f>G29*F30</f>
        <v>0</v>
      </c>
      <c r="H30" s="382">
        <v>0</v>
      </c>
      <c r="I30" s="404">
        <f>I29*H30</f>
        <v>0</v>
      </c>
    </row>
    <row r="31" spans="1:9" x14ac:dyDescent="0.2">
      <c r="A31" s="68" t="s">
        <v>321</v>
      </c>
      <c r="B31" s="804" t="s">
        <v>551</v>
      </c>
      <c r="C31" s="679"/>
      <c r="D31" s="679"/>
      <c r="E31" s="680"/>
      <c r="F31" s="255">
        <v>0</v>
      </c>
      <c r="G31" s="319">
        <f t="shared" ref="G31:G33" si="0">G30*F31</f>
        <v>0</v>
      </c>
      <c r="H31" s="382">
        <v>0</v>
      </c>
      <c r="I31" s="404">
        <f t="shared" ref="I31:I33" si="1">I30*H31</f>
        <v>0</v>
      </c>
    </row>
    <row r="32" spans="1:9" x14ac:dyDescent="0.2">
      <c r="A32" s="68" t="s">
        <v>322</v>
      </c>
      <c r="B32" s="804" t="s">
        <v>552</v>
      </c>
      <c r="C32" s="679"/>
      <c r="D32" s="679"/>
      <c r="E32" s="680"/>
      <c r="F32" s="255">
        <v>0</v>
      </c>
      <c r="G32" s="319">
        <f t="shared" si="0"/>
        <v>0</v>
      </c>
      <c r="H32" s="382">
        <v>0</v>
      </c>
      <c r="I32" s="404">
        <f t="shared" si="1"/>
        <v>0</v>
      </c>
    </row>
    <row r="33" spans="1:9" x14ac:dyDescent="0.2">
      <c r="A33" s="68" t="s">
        <v>333</v>
      </c>
      <c r="B33" s="804" t="s">
        <v>553</v>
      </c>
      <c r="C33" s="679"/>
      <c r="D33" s="679"/>
      <c r="E33" s="680"/>
      <c r="F33" s="255">
        <v>0</v>
      </c>
      <c r="G33" s="319">
        <f t="shared" si="0"/>
        <v>0</v>
      </c>
      <c r="H33" s="382">
        <v>0</v>
      </c>
      <c r="I33" s="404">
        <f t="shared" si="1"/>
        <v>0</v>
      </c>
    </row>
    <row r="34" spans="1:9" x14ac:dyDescent="0.2">
      <c r="A34" s="68" t="s">
        <v>334</v>
      </c>
      <c r="B34" s="804" t="s">
        <v>880</v>
      </c>
      <c r="C34" s="679"/>
      <c r="D34" s="679"/>
      <c r="E34" s="680"/>
      <c r="F34" s="255"/>
      <c r="G34" s="319"/>
      <c r="H34" s="382"/>
      <c r="I34" s="404"/>
    </row>
    <row r="35" spans="1:9" x14ac:dyDescent="0.2">
      <c r="A35" s="71"/>
      <c r="B35" s="752" t="s">
        <v>337</v>
      </c>
      <c r="C35" s="781"/>
      <c r="D35" s="781"/>
      <c r="E35" s="781"/>
      <c r="F35" s="72">
        <f>SUM(F29:F34)</f>
        <v>1</v>
      </c>
      <c r="G35" s="317">
        <f>SUM(G29:G34)</f>
        <v>1838.43</v>
      </c>
      <c r="H35" s="381">
        <f>SUM(H29:H34)</f>
        <v>1</v>
      </c>
      <c r="I35" s="403">
        <f>SUM(I29:I34)</f>
        <v>1985.5</v>
      </c>
    </row>
    <row r="36" spans="1:9" x14ac:dyDescent="0.2">
      <c r="A36" s="824" t="s">
        <v>1043</v>
      </c>
      <c r="B36" s="825"/>
      <c r="C36" s="825"/>
      <c r="D36" s="825"/>
      <c r="E36" s="825"/>
      <c r="F36" s="825"/>
      <c r="G36" s="825"/>
      <c r="H36" s="881"/>
      <c r="I36" s="882"/>
    </row>
    <row r="37" spans="1:9" x14ac:dyDescent="0.2">
      <c r="A37" s="775"/>
      <c r="B37" s="776"/>
      <c r="C37" s="776"/>
      <c r="D37" s="776"/>
      <c r="E37" s="776"/>
      <c r="F37" s="776"/>
      <c r="G37" s="776"/>
      <c r="H37" s="881"/>
      <c r="I37" s="882"/>
    </row>
    <row r="38" spans="1:9" x14ac:dyDescent="0.2">
      <c r="A38" s="73"/>
      <c r="B38" s="752" t="s">
        <v>555</v>
      </c>
      <c r="C38" s="781"/>
      <c r="D38" s="781"/>
      <c r="E38" s="781"/>
      <c r="F38" s="752"/>
      <c r="G38" s="753"/>
      <c r="H38" s="754"/>
      <c r="I38" s="755"/>
    </row>
    <row r="39" spans="1:9" x14ac:dyDescent="0.2">
      <c r="A39" s="678" t="s">
        <v>556</v>
      </c>
      <c r="B39" s="793"/>
      <c r="C39" s="793"/>
      <c r="D39" s="793"/>
      <c r="E39" s="793"/>
      <c r="F39" s="793"/>
      <c r="G39" s="793"/>
      <c r="H39" s="387"/>
      <c r="I39" s="408"/>
    </row>
    <row r="40" spans="1:9" x14ac:dyDescent="0.2">
      <c r="A40" s="68" t="s">
        <v>557</v>
      </c>
      <c r="B40" s="791" t="s">
        <v>558</v>
      </c>
      <c r="C40" s="792"/>
      <c r="D40" s="792"/>
      <c r="E40" s="792"/>
      <c r="F40" s="809"/>
      <c r="G40" s="311" t="s">
        <v>331</v>
      </c>
      <c r="H40" s="380"/>
      <c r="I40" s="401" t="s">
        <v>331</v>
      </c>
    </row>
    <row r="41" spans="1:9" x14ac:dyDescent="0.2">
      <c r="A41" s="68" t="s">
        <v>316</v>
      </c>
      <c r="B41" s="804" t="s">
        <v>559</v>
      </c>
      <c r="C41" s="679"/>
      <c r="D41" s="679"/>
      <c r="E41" s="680"/>
      <c r="F41" s="161">
        <v>8.3299999999999999E-2</v>
      </c>
      <c r="G41" s="319">
        <f>F41*G35</f>
        <v>153.14121900000001</v>
      </c>
      <c r="H41" s="383">
        <v>8.3299999999999999E-2</v>
      </c>
      <c r="I41" s="404">
        <f>H41*I35</f>
        <v>165.39214999999999</v>
      </c>
    </row>
    <row r="42" spans="1:9" x14ac:dyDescent="0.2">
      <c r="A42" s="68" t="s">
        <v>318</v>
      </c>
      <c r="B42" s="804" t="s">
        <v>607</v>
      </c>
      <c r="C42" s="679"/>
      <c r="D42" s="679"/>
      <c r="E42" s="680"/>
      <c r="F42" s="161">
        <f>8.33%+(8.33%*1/3)</f>
        <v>0.11106666666666666</v>
      </c>
      <c r="G42" s="319">
        <f>F42*G35</f>
        <v>204.18829199999999</v>
      </c>
      <c r="H42" s="383">
        <f>8.33%+(8.33%*1/3)</f>
        <v>0.11106666666666666</v>
      </c>
      <c r="I42" s="404">
        <f>H42*I35</f>
        <v>220.52286666666666</v>
      </c>
    </row>
    <row r="43" spans="1:9" x14ac:dyDescent="0.2">
      <c r="A43" s="73"/>
      <c r="B43" s="752" t="s">
        <v>352</v>
      </c>
      <c r="C43" s="781"/>
      <c r="D43" s="781"/>
      <c r="E43" s="788"/>
      <c r="F43" s="75">
        <f>SUM(F41:F42)</f>
        <v>0.19436666666666666</v>
      </c>
      <c r="G43" s="317">
        <f>SUM(G41:G42)</f>
        <v>357.32951100000002</v>
      </c>
      <c r="H43" s="384">
        <f>SUM(H41:H42)</f>
        <v>0.19436666666666666</v>
      </c>
      <c r="I43" s="403">
        <f>SUM(I41:I42)</f>
        <v>385.91501666666665</v>
      </c>
    </row>
    <row r="44" spans="1:9" ht="22.5" customHeight="1" x14ac:dyDescent="0.2">
      <c r="A44" s="789" t="s">
        <v>1084</v>
      </c>
      <c r="B44" s="790"/>
      <c r="C44" s="790"/>
      <c r="D44" s="790"/>
      <c r="E44" s="790"/>
      <c r="F44" s="790"/>
      <c r="G44" s="790"/>
      <c r="H44" s="877"/>
      <c r="I44" s="878"/>
    </row>
    <row r="45" spans="1:9" ht="15.75" customHeight="1" x14ac:dyDescent="0.2">
      <c r="A45" s="789" t="s">
        <v>1085</v>
      </c>
      <c r="B45" s="790"/>
      <c r="C45" s="790"/>
      <c r="D45" s="790"/>
      <c r="E45" s="790"/>
      <c r="F45" s="790"/>
      <c r="G45" s="790"/>
      <c r="H45" s="877"/>
      <c r="I45" s="878"/>
    </row>
    <row r="46" spans="1:9" ht="23.25" customHeight="1" x14ac:dyDescent="0.2">
      <c r="A46" s="821" t="s">
        <v>1086</v>
      </c>
      <c r="B46" s="821"/>
      <c r="C46" s="821"/>
      <c r="D46" s="821"/>
      <c r="E46" s="821"/>
      <c r="F46" s="821"/>
      <c r="G46" s="821"/>
      <c r="H46" s="877"/>
      <c r="I46" s="878"/>
    </row>
    <row r="47" spans="1:9" x14ac:dyDescent="0.2">
      <c r="A47" s="775"/>
      <c r="B47" s="776"/>
      <c r="C47" s="776"/>
      <c r="D47" s="776"/>
      <c r="E47" s="776"/>
      <c r="F47" s="776"/>
      <c r="G47" s="776"/>
      <c r="H47" s="877"/>
      <c r="I47" s="878"/>
    </row>
    <row r="48" spans="1:9" x14ac:dyDescent="0.2">
      <c r="A48" s="678" t="s">
        <v>560</v>
      </c>
      <c r="B48" s="793"/>
      <c r="C48" s="793"/>
      <c r="D48" s="793"/>
      <c r="E48" s="793"/>
      <c r="F48" s="793"/>
      <c r="G48" s="793"/>
      <c r="H48" s="877"/>
      <c r="I48" s="878"/>
    </row>
    <row r="49" spans="1:10" ht="25.5" x14ac:dyDescent="0.2">
      <c r="A49" s="68" t="s">
        <v>561</v>
      </c>
      <c r="B49" s="791" t="s">
        <v>562</v>
      </c>
      <c r="C49" s="776"/>
      <c r="D49" s="776"/>
      <c r="E49" s="893"/>
      <c r="F49" s="161" t="s">
        <v>563</v>
      </c>
      <c r="G49" s="311" t="s">
        <v>331</v>
      </c>
      <c r="H49" s="383" t="s">
        <v>563</v>
      </c>
      <c r="I49" s="401" t="s">
        <v>331</v>
      </c>
    </row>
    <row r="50" spans="1:10" x14ac:dyDescent="0.2">
      <c r="A50" s="68" t="s">
        <v>316</v>
      </c>
      <c r="B50" s="804" t="s">
        <v>342</v>
      </c>
      <c r="C50" s="679"/>
      <c r="D50" s="679"/>
      <c r="E50" s="680"/>
      <c r="F50" s="80"/>
      <c r="G50" s="321">
        <f>F50*(G35+G43+G117)</f>
        <v>0</v>
      </c>
      <c r="H50" s="383"/>
      <c r="I50" s="409">
        <f>H50*(I35+I43+I117)</f>
        <v>0</v>
      </c>
    </row>
    <row r="51" spans="1:10" x14ac:dyDescent="0.2">
      <c r="A51" s="68" t="s">
        <v>318</v>
      </c>
      <c r="B51" s="804" t="s">
        <v>564</v>
      </c>
      <c r="C51" s="679"/>
      <c r="D51" s="679"/>
      <c r="E51" s="680"/>
      <c r="F51" s="80">
        <v>2.5000000000000001E-2</v>
      </c>
      <c r="G51" s="321">
        <f>F51*(G35+G43+G117)</f>
        <v>56.353496925000002</v>
      </c>
      <c r="H51" s="383">
        <v>2.5000000000000001E-2</v>
      </c>
      <c r="I51" s="409">
        <f>H51*(I35+I43+I117)</f>
        <v>60.861641805555564</v>
      </c>
    </row>
    <row r="52" spans="1:10" x14ac:dyDescent="0.2">
      <c r="A52" s="68" t="s">
        <v>321</v>
      </c>
      <c r="B52" s="804" t="s">
        <v>565</v>
      </c>
      <c r="C52" s="679"/>
      <c r="D52" s="679"/>
      <c r="E52" s="680"/>
      <c r="F52" s="80">
        <v>2.7900000000000001E-2</v>
      </c>
      <c r="G52" s="321">
        <f>F52*(G35+G43+G117)</f>
        <v>62.890502568300008</v>
      </c>
      <c r="H52" s="196">
        <v>2.76E-2</v>
      </c>
      <c r="I52" s="506">
        <f>H52*(I35+I43+I117)</f>
        <v>67.191252553333342</v>
      </c>
      <c r="J52" s="504"/>
    </row>
    <row r="53" spans="1:10" x14ac:dyDescent="0.2">
      <c r="A53" s="68" t="s">
        <v>322</v>
      </c>
      <c r="B53" s="804" t="s">
        <v>566</v>
      </c>
      <c r="C53" s="679"/>
      <c r="D53" s="679"/>
      <c r="E53" s="680"/>
      <c r="F53" s="80">
        <v>1.4999999999999999E-2</v>
      </c>
      <c r="G53" s="321">
        <f>F53*(G35+G43+G117)</f>
        <v>33.812098155000001</v>
      </c>
      <c r="H53" s="383">
        <v>1.4999999999999999E-2</v>
      </c>
      <c r="I53" s="409">
        <f>H53*(I35+I43+I117)</f>
        <v>36.516985083333338</v>
      </c>
    </row>
    <row r="54" spans="1:10" x14ac:dyDescent="0.2">
      <c r="A54" s="68" t="s">
        <v>333</v>
      </c>
      <c r="B54" s="804" t="s">
        <v>343</v>
      </c>
      <c r="C54" s="679"/>
      <c r="D54" s="679"/>
      <c r="E54" s="680"/>
      <c r="F54" s="80">
        <v>0.01</v>
      </c>
      <c r="G54" s="321">
        <f>F54*(G35+G43+G117)</f>
        <v>22.541398770000001</v>
      </c>
      <c r="H54" s="383">
        <v>0.01</v>
      </c>
      <c r="I54" s="409">
        <f>H54*(I35+I43+I117)</f>
        <v>24.344656722222226</v>
      </c>
    </row>
    <row r="55" spans="1:10" x14ac:dyDescent="0.2">
      <c r="A55" s="68" t="s">
        <v>334</v>
      </c>
      <c r="B55" s="804" t="s">
        <v>346</v>
      </c>
      <c r="C55" s="679"/>
      <c r="D55" s="679"/>
      <c r="E55" s="680"/>
      <c r="F55" s="80">
        <v>6.0000000000000001E-3</v>
      </c>
      <c r="G55" s="321">
        <f>F55*(G35+G43+G117)</f>
        <v>13.524839262</v>
      </c>
      <c r="H55" s="383">
        <v>6.0000000000000001E-3</v>
      </c>
      <c r="I55" s="409">
        <f>H55*(I35+I43+I117)</f>
        <v>14.606794033333335</v>
      </c>
    </row>
    <row r="56" spans="1:10" x14ac:dyDescent="0.2">
      <c r="A56" s="68" t="s">
        <v>335</v>
      </c>
      <c r="B56" s="804" t="s">
        <v>344</v>
      </c>
      <c r="C56" s="679"/>
      <c r="D56" s="679"/>
      <c r="E56" s="680"/>
      <c r="F56" s="80">
        <v>2E-3</v>
      </c>
      <c r="G56" s="321">
        <f>F56*(G35+G43+G117)</f>
        <v>4.5082797540000001</v>
      </c>
      <c r="H56" s="383">
        <v>2E-3</v>
      </c>
      <c r="I56" s="409">
        <f>H56*(I35+I43+I117)</f>
        <v>4.8689313444444453</v>
      </c>
    </row>
    <row r="57" spans="1:10" x14ac:dyDescent="0.2">
      <c r="A57" s="68" t="s">
        <v>336</v>
      </c>
      <c r="B57" s="804" t="s">
        <v>345</v>
      </c>
      <c r="C57" s="679"/>
      <c r="D57" s="679"/>
      <c r="E57" s="680"/>
      <c r="F57" s="80">
        <v>0.08</v>
      </c>
      <c r="G57" s="321">
        <f>F57*(G35+G43+G117)</f>
        <v>180.33119016000001</v>
      </c>
      <c r="H57" s="383">
        <v>0.08</v>
      </c>
      <c r="I57" s="409">
        <f>H57*(I35+I43+I117)</f>
        <v>194.75725377777781</v>
      </c>
    </row>
    <row r="58" spans="1:10" x14ac:dyDescent="0.2">
      <c r="A58" s="73"/>
      <c r="B58" s="752" t="s">
        <v>352</v>
      </c>
      <c r="C58" s="781"/>
      <c r="D58" s="781"/>
      <c r="E58" s="788"/>
      <c r="F58" s="75">
        <f>SUM(F50:F57)</f>
        <v>0.16589999999999999</v>
      </c>
      <c r="G58" s="322">
        <f>SUM(G50:G57)</f>
        <v>373.96180559430002</v>
      </c>
      <c r="H58" s="384">
        <f>SUM(H50:H57)</f>
        <v>0.1656</v>
      </c>
      <c r="I58" s="410">
        <f>SUM(I50:I57)</f>
        <v>403.14751532000002</v>
      </c>
    </row>
    <row r="59" spans="1:10" ht="15" customHeight="1" x14ac:dyDescent="0.2">
      <c r="A59" s="789" t="s">
        <v>1103</v>
      </c>
      <c r="B59" s="790"/>
      <c r="C59" s="790"/>
      <c r="D59" s="790"/>
      <c r="E59" s="790"/>
      <c r="F59" s="790"/>
      <c r="G59" s="790"/>
      <c r="H59" s="877"/>
      <c r="I59" s="878"/>
    </row>
    <row r="60" spans="1:10" ht="13.5" customHeight="1" x14ac:dyDescent="0.2">
      <c r="A60" s="789" t="s">
        <v>1104</v>
      </c>
      <c r="B60" s="790"/>
      <c r="C60" s="790"/>
      <c r="D60" s="790"/>
      <c r="E60" s="790"/>
      <c r="F60" s="790"/>
      <c r="G60" s="790"/>
      <c r="H60" s="877"/>
      <c r="I60" s="878"/>
    </row>
    <row r="61" spans="1:10" ht="10.5" customHeight="1" x14ac:dyDescent="0.2">
      <c r="A61" s="875" t="s">
        <v>936</v>
      </c>
      <c r="B61" s="876"/>
      <c r="C61" s="876"/>
      <c r="D61" s="876"/>
      <c r="E61" s="876"/>
      <c r="F61" s="876"/>
      <c r="G61" s="876"/>
      <c r="H61" s="877"/>
      <c r="I61" s="878"/>
    </row>
    <row r="62" spans="1:10" x14ac:dyDescent="0.2">
      <c r="A62" s="78"/>
      <c r="B62" s="79"/>
      <c r="C62" s="77"/>
      <c r="D62" s="77"/>
      <c r="E62" s="77"/>
      <c r="F62" s="80"/>
      <c r="G62" s="312"/>
      <c r="H62" s="877"/>
      <c r="I62" s="878"/>
    </row>
    <row r="63" spans="1:10" x14ac:dyDescent="0.2">
      <c r="A63" s="678" t="s">
        <v>567</v>
      </c>
      <c r="B63" s="793"/>
      <c r="C63" s="793"/>
      <c r="D63" s="793"/>
      <c r="E63" s="793"/>
      <c r="F63" s="793"/>
      <c r="G63" s="793"/>
      <c r="H63" s="877"/>
      <c r="I63" s="878"/>
    </row>
    <row r="64" spans="1:10" x14ac:dyDescent="0.2">
      <c r="A64" s="68" t="s">
        <v>568</v>
      </c>
      <c r="B64" s="820" t="s">
        <v>569</v>
      </c>
      <c r="C64" s="820"/>
      <c r="D64" s="820"/>
      <c r="E64" s="820"/>
      <c r="F64" s="820"/>
      <c r="G64" s="311" t="s">
        <v>331</v>
      </c>
      <c r="H64" s="380"/>
      <c r="I64" s="401" t="s">
        <v>331</v>
      </c>
    </row>
    <row r="65" spans="1:9" x14ac:dyDescent="0.2">
      <c r="A65" s="68" t="s">
        <v>316</v>
      </c>
      <c r="B65" s="804" t="s">
        <v>1022</v>
      </c>
      <c r="C65" s="679"/>
      <c r="D65" s="679"/>
      <c r="E65" s="679"/>
      <c r="F65" s="680"/>
      <c r="G65" s="319">
        <f>((5+2.5)*2*21.5)-6%*G29</f>
        <v>212.1942</v>
      </c>
      <c r="H65" s="388"/>
      <c r="I65" s="404">
        <f>((5+2.5)*2*21.5)-6%*I29</f>
        <v>203.37</v>
      </c>
    </row>
    <row r="66" spans="1:9" x14ac:dyDescent="0.2">
      <c r="A66" s="68" t="s">
        <v>318</v>
      </c>
      <c r="B66" s="804" t="s">
        <v>1023</v>
      </c>
      <c r="C66" s="679"/>
      <c r="D66" s="679"/>
      <c r="E66" s="679"/>
      <c r="F66" s="680"/>
      <c r="G66" s="319">
        <f>31.5*21.5</f>
        <v>677.25</v>
      </c>
      <c r="H66" s="388"/>
      <c r="I66" s="404">
        <f>33*21.5</f>
        <v>709.5</v>
      </c>
    </row>
    <row r="67" spans="1:9" x14ac:dyDescent="0.2">
      <c r="A67" s="68" t="s">
        <v>321</v>
      </c>
      <c r="B67" s="804" t="s">
        <v>963</v>
      </c>
      <c r="C67" s="679"/>
      <c r="D67" s="679"/>
      <c r="E67" s="679"/>
      <c r="F67" s="680"/>
      <c r="G67" s="319">
        <v>0</v>
      </c>
      <c r="H67" s="388"/>
      <c r="I67" s="404">
        <v>0</v>
      </c>
    </row>
    <row r="68" spans="1:9" x14ac:dyDescent="0.2">
      <c r="A68" s="68" t="s">
        <v>322</v>
      </c>
      <c r="B68" s="678" t="s">
        <v>930</v>
      </c>
      <c r="C68" s="679"/>
      <c r="D68" s="679"/>
      <c r="E68" s="679"/>
      <c r="F68" s="680"/>
      <c r="G68" s="319">
        <v>0</v>
      </c>
      <c r="H68" s="388"/>
      <c r="I68" s="404">
        <v>0</v>
      </c>
    </row>
    <row r="69" spans="1:9" x14ac:dyDescent="0.2">
      <c r="A69" s="68" t="s">
        <v>333</v>
      </c>
      <c r="B69" s="678" t="s">
        <v>933</v>
      </c>
      <c r="C69" s="793"/>
      <c r="D69" s="793"/>
      <c r="E69" s="793"/>
      <c r="F69" s="818"/>
      <c r="G69" s="319"/>
      <c r="H69" s="388"/>
      <c r="I69" s="404"/>
    </row>
    <row r="70" spans="1:9" x14ac:dyDescent="0.2">
      <c r="A70" s="68" t="s">
        <v>334</v>
      </c>
      <c r="B70" s="678" t="s">
        <v>932</v>
      </c>
      <c r="C70" s="679"/>
      <c r="D70" s="679"/>
      <c r="E70" s="679"/>
      <c r="F70" s="680"/>
      <c r="G70" s="319">
        <v>0</v>
      </c>
      <c r="H70" s="388"/>
      <c r="I70" s="404">
        <v>10.65</v>
      </c>
    </row>
    <row r="71" spans="1:9" x14ac:dyDescent="0.2">
      <c r="A71" s="68" t="s">
        <v>335</v>
      </c>
      <c r="B71" s="678" t="s">
        <v>931</v>
      </c>
      <c r="C71" s="679"/>
      <c r="D71" s="679"/>
      <c r="E71" s="679"/>
      <c r="F71" s="680"/>
      <c r="G71" s="319">
        <v>0</v>
      </c>
      <c r="H71" s="388"/>
      <c r="I71" s="404">
        <v>0</v>
      </c>
    </row>
    <row r="72" spans="1:9" x14ac:dyDescent="0.2">
      <c r="A72" s="71"/>
      <c r="B72" s="752" t="s">
        <v>352</v>
      </c>
      <c r="C72" s="781"/>
      <c r="D72" s="781"/>
      <c r="E72" s="781"/>
      <c r="F72" s="788"/>
      <c r="G72" s="317">
        <f>SUM(G65:G70)</f>
        <v>889.44420000000002</v>
      </c>
      <c r="H72" s="389"/>
      <c r="I72" s="403">
        <f>SUM(I65:I70)</f>
        <v>923.52</v>
      </c>
    </row>
    <row r="73" spans="1:9" x14ac:dyDescent="0.2">
      <c r="A73" s="789" t="s">
        <v>1114</v>
      </c>
      <c r="B73" s="790"/>
      <c r="C73" s="790"/>
      <c r="D73" s="790"/>
      <c r="E73" s="790"/>
      <c r="F73" s="790"/>
      <c r="G73" s="790"/>
      <c r="H73" s="385"/>
      <c r="I73" s="405"/>
    </row>
    <row r="74" spans="1:9" x14ac:dyDescent="0.2">
      <c r="A74" s="789" t="s">
        <v>1115</v>
      </c>
      <c r="B74" s="790"/>
      <c r="C74" s="790"/>
      <c r="D74" s="790"/>
      <c r="E74" s="790"/>
      <c r="F74" s="790"/>
      <c r="G74" s="790"/>
      <c r="H74" s="385"/>
      <c r="I74" s="405"/>
    </row>
    <row r="75" spans="1:9" x14ac:dyDescent="0.2">
      <c r="A75" s="76"/>
      <c r="B75" s="77"/>
      <c r="C75" s="77"/>
      <c r="D75" s="77"/>
      <c r="E75" s="77"/>
      <c r="F75" s="159"/>
      <c r="G75" s="307"/>
      <c r="H75" s="387"/>
      <c r="I75" s="407"/>
    </row>
    <row r="76" spans="1:9" x14ac:dyDescent="0.2">
      <c r="A76" s="73"/>
      <c r="B76" s="752" t="s">
        <v>893</v>
      </c>
      <c r="C76" s="781"/>
      <c r="D76" s="781"/>
      <c r="E76" s="781"/>
      <c r="F76" s="781"/>
      <c r="G76" s="320"/>
      <c r="H76" s="419"/>
      <c r="I76" s="424"/>
    </row>
    <row r="77" spans="1:9" x14ac:dyDescent="0.2">
      <c r="A77" s="68">
        <v>2</v>
      </c>
      <c r="B77" s="820" t="s">
        <v>571</v>
      </c>
      <c r="C77" s="820"/>
      <c r="D77" s="820"/>
      <c r="E77" s="820"/>
      <c r="F77" s="820"/>
      <c r="G77" s="311" t="s">
        <v>331</v>
      </c>
      <c r="H77" s="380"/>
      <c r="I77" s="401" t="s">
        <v>331</v>
      </c>
    </row>
    <row r="78" spans="1:9" x14ac:dyDescent="0.2">
      <c r="A78" s="68" t="s">
        <v>557</v>
      </c>
      <c r="B78" s="819" t="s">
        <v>572</v>
      </c>
      <c r="C78" s="819"/>
      <c r="D78" s="819"/>
      <c r="E78" s="819"/>
      <c r="F78" s="819"/>
      <c r="G78" s="319">
        <f>G43</f>
        <v>357.32951100000002</v>
      </c>
      <c r="H78" s="388"/>
      <c r="I78" s="404">
        <f>I43</f>
        <v>385.91501666666665</v>
      </c>
    </row>
    <row r="79" spans="1:9" x14ac:dyDescent="0.2">
      <c r="A79" s="68" t="s">
        <v>561</v>
      </c>
      <c r="B79" s="819" t="s">
        <v>562</v>
      </c>
      <c r="C79" s="819"/>
      <c r="D79" s="819"/>
      <c r="E79" s="819"/>
      <c r="F79" s="819"/>
      <c r="G79" s="319">
        <f>G58</f>
        <v>373.96180559430002</v>
      </c>
      <c r="H79" s="388"/>
      <c r="I79" s="404">
        <f>I58</f>
        <v>403.14751532000002</v>
      </c>
    </row>
    <row r="80" spans="1:9" x14ac:dyDescent="0.2">
      <c r="A80" s="68" t="s">
        <v>568</v>
      </c>
      <c r="B80" s="819" t="s">
        <v>569</v>
      </c>
      <c r="C80" s="819"/>
      <c r="D80" s="819"/>
      <c r="E80" s="819"/>
      <c r="F80" s="819"/>
      <c r="G80" s="319">
        <f>G72</f>
        <v>889.44420000000002</v>
      </c>
      <c r="H80" s="388"/>
      <c r="I80" s="404">
        <f>I72</f>
        <v>923.52</v>
      </c>
    </row>
    <row r="81" spans="1:9" x14ac:dyDescent="0.2">
      <c r="A81" s="134"/>
      <c r="B81" s="756" t="s">
        <v>352</v>
      </c>
      <c r="C81" s="840"/>
      <c r="D81" s="840"/>
      <c r="E81" s="840"/>
      <c r="F81" s="841"/>
      <c r="G81" s="317">
        <f>SUM(G78:G80)</f>
        <v>1620.7355165943</v>
      </c>
      <c r="H81" s="389"/>
      <c r="I81" s="403">
        <f>SUM(I78:I80)</f>
        <v>1712.5825319866667</v>
      </c>
    </row>
    <row r="82" spans="1:9" x14ac:dyDescent="0.2">
      <c r="A82" s="838"/>
      <c r="B82" s="839"/>
      <c r="C82" s="839"/>
      <c r="D82" s="839"/>
      <c r="E82" s="839"/>
      <c r="F82" s="839"/>
      <c r="G82" s="839"/>
      <c r="H82" s="420"/>
      <c r="I82" s="425"/>
    </row>
    <row r="83" spans="1:9" x14ac:dyDescent="0.2">
      <c r="A83" s="132"/>
      <c r="B83" s="752" t="s">
        <v>885</v>
      </c>
      <c r="C83" s="781"/>
      <c r="D83" s="781"/>
      <c r="E83" s="788"/>
      <c r="F83" s="74"/>
      <c r="G83" s="320"/>
      <c r="H83" s="419"/>
      <c r="I83" s="424"/>
    </row>
    <row r="84" spans="1:9" ht="25.5" x14ac:dyDescent="0.2">
      <c r="A84" s="68">
        <v>3</v>
      </c>
      <c r="B84" s="791" t="s">
        <v>348</v>
      </c>
      <c r="C84" s="792"/>
      <c r="D84" s="792"/>
      <c r="E84" s="809"/>
      <c r="F84" s="161" t="s">
        <v>563</v>
      </c>
      <c r="G84" s="311" t="s">
        <v>331</v>
      </c>
      <c r="H84" s="383" t="s">
        <v>563</v>
      </c>
      <c r="I84" s="401" t="s">
        <v>331</v>
      </c>
    </row>
    <row r="85" spans="1:9" x14ac:dyDescent="0.2">
      <c r="A85" s="78" t="s">
        <v>316</v>
      </c>
      <c r="B85" s="804" t="s">
        <v>993</v>
      </c>
      <c r="C85" s="679"/>
      <c r="D85" s="679"/>
      <c r="E85" s="680"/>
      <c r="F85" s="256">
        <v>4.1700000000000001E-3</v>
      </c>
      <c r="G85" s="319">
        <f>F85*(G35+G43)</f>
        <v>9.1563171608700014</v>
      </c>
      <c r="H85" s="390">
        <v>4.1700000000000001E-3</v>
      </c>
      <c r="I85" s="404">
        <f>H85*(I35+I43)</f>
        <v>9.8888006195000013</v>
      </c>
    </row>
    <row r="86" spans="1:9" x14ac:dyDescent="0.2">
      <c r="A86" s="78" t="s">
        <v>318</v>
      </c>
      <c r="B86" s="804" t="s">
        <v>976</v>
      </c>
      <c r="C86" s="679"/>
      <c r="D86" s="679"/>
      <c r="E86" s="680"/>
      <c r="F86" s="256">
        <f>F57*F85</f>
        <v>3.3360000000000003E-4</v>
      </c>
      <c r="G86" s="319">
        <f>F86*(G35+G43)</f>
        <v>0.73250537286960016</v>
      </c>
      <c r="H86" s="390">
        <f>H57*H85</f>
        <v>3.3360000000000003E-4</v>
      </c>
      <c r="I86" s="404">
        <f>H86*(I35+I43)</f>
        <v>0.79110404956000013</v>
      </c>
    </row>
    <row r="87" spans="1:9" x14ac:dyDescent="0.2">
      <c r="A87" s="68" t="s">
        <v>321</v>
      </c>
      <c r="B87" s="804" t="s">
        <v>1000</v>
      </c>
      <c r="C87" s="679"/>
      <c r="D87" s="679"/>
      <c r="E87" s="680"/>
      <c r="F87" s="256">
        <f xml:space="preserve"> (40%+10%)*F85</f>
        <v>2.085E-3</v>
      </c>
      <c r="G87" s="319">
        <f>F87*(G35+G43)</f>
        <v>4.5781585804350007</v>
      </c>
      <c r="H87" s="390">
        <f xml:space="preserve"> (40%+10%)*H85</f>
        <v>2.085E-3</v>
      </c>
      <c r="I87" s="404">
        <f>H87*(I35+I43)</f>
        <v>4.9444003097500007</v>
      </c>
    </row>
    <row r="88" spans="1:9" x14ac:dyDescent="0.2">
      <c r="A88" s="68" t="s">
        <v>322</v>
      </c>
      <c r="B88" s="804" t="s">
        <v>994</v>
      </c>
      <c r="C88" s="679"/>
      <c r="D88" s="679"/>
      <c r="E88" s="680"/>
      <c r="F88" s="256">
        <f>(7/30)/12</f>
        <v>1.9444444444444445E-2</v>
      </c>
      <c r="G88" s="319">
        <f>F88*(G35+G43)</f>
        <v>42.695323825000003</v>
      </c>
      <c r="H88" s="390">
        <f>(7/30)/12</f>
        <v>1.9444444444444445E-2</v>
      </c>
      <c r="I88" s="404">
        <f>H88*(I35+I43)</f>
        <v>46.110847546296299</v>
      </c>
    </row>
    <row r="89" spans="1:9" x14ac:dyDescent="0.2">
      <c r="A89" s="69" t="s">
        <v>333</v>
      </c>
      <c r="B89" s="804" t="s">
        <v>988</v>
      </c>
      <c r="C89" s="679"/>
      <c r="D89" s="679"/>
      <c r="E89" s="680"/>
      <c r="F89" s="256">
        <f>F58*F88</f>
        <v>3.2258333333333332E-3</v>
      </c>
      <c r="G89" s="319">
        <f>F89*($G$35+$G$43)</f>
        <v>7.0831542225674999</v>
      </c>
      <c r="H89" s="390">
        <f>H58*H88</f>
        <v>3.2200000000000002E-3</v>
      </c>
      <c r="I89" s="404">
        <f>H89*($I$35+$I$43)</f>
        <v>7.6359563536666677</v>
      </c>
    </row>
    <row r="90" spans="1:9" x14ac:dyDescent="0.2">
      <c r="A90" s="68" t="s">
        <v>334</v>
      </c>
      <c r="B90" s="804" t="s">
        <v>979</v>
      </c>
      <c r="C90" s="679"/>
      <c r="D90" s="679"/>
      <c r="E90" s="680"/>
      <c r="F90" s="161">
        <f>50%*F88</f>
        <v>9.7222222222222224E-3</v>
      </c>
      <c r="G90" s="319">
        <f>F90*($G$35+$G$43)</f>
        <v>21.347661912500001</v>
      </c>
      <c r="H90" s="383">
        <f>50%*H88</f>
        <v>9.7222222222222224E-3</v>
      </c>
      <c r="I90" s="404">
        <f>H90*($I$35+$I$43)</f>
        <v>23.055423773148149</v>
      </c>
    </row>
    <row r="91" spans="1:9" x14ac:dyDescent="0.2">
      <c r="A91" s="73"/>
      <c r="B91" s="752" t="s">
        <v>352</v>
      </c>
      <c r="C91" s="781"/>
      <c r="D91" s="781"/>
      <c r="E91" s="788"/>
      <c r="F91" s="82">
        <f>SUM(F85:F90)</f>
        <v>3.8981100000000005E-2</v>
      </c>
      <c r="G91" s="317">
        <f>SUM(G85:G90)</f>
        <v>85.593121074242106</v>
      </c>
      <c r="H91" s="392">
        <f>SUM(H85:H90)</f>
        <v>3.8975266666666668E-2</v>
      </c>
      <c r="I91" s="403">
        <f>SUM(I85:I90)</f>
        <v>92.426532651921121</v>
      </c>
    </row>
    <row r="92" spans="1:9" x14ac:dyDescent="0.2">
      <c r="A92" s="83"/>
      <c r="B92" s="84"/>
      <c r="C92" s="84"/>
      <c r="D92" s="84"/>
      <c r="E92" s="84"/>
      <c r="F92" s="163"/>
      <c r="G92" s="315"/>
      <c r="H92" s="393"/>
      <c r="I92" s="412"/>
    </row>
    <row r="93" spans="1:9" x14ac:dyDescent="0.2">
      <c r="A93" s="73"/>
      <c r="B93" s="752" t="s">
        <v>886</v>
      </c>
      <c r="C93" s="781"/>
      <c r="D93" s="781"/>
      <c r="E93" s="781"/>
      <c r="F93" s="752"/>
      <c r="G93" s="753"/>
      <c r="H93" s="754"/>
      <c r="I93" s="755"/>
    </row>
    <row r="94" spans="1:9" ht="21" customHeight="1" x14ac:dyDescent="0.2">
      <c r="A94" s="808" t="s">
        <v>1107</v>
      </c>
      <c r="B94" s="790"/>
      <c r="C94" s="790"/>
      <c r="D94" s="790"/>
      <c r="E94" s="790"/>
      <c r="F94" s="790"/>
      <c r="G94" s="790"/>
      <c r="H94" s="877"/>
      <c r="I94" s="878"/>
    </row>
    <row r="95" spans="1:9" x14ac:dyDescent="0.2">
      <c r="A95" s="775"/>
      <c r="B95" s="776"/>
      <c r="C95" s="776"/>
      <c r="D95" s="776"/>
      <c r="E95" s="776"/>
      <c r="F95" s="776"/>
      <c r="G95" s="776"/>
      <c r="H95" s="877"/>
      <c r="I95" s="878"/>
    </row>
    <row r="96" spans="1:9" x14ac:dyDescent="0.2">
      <c r="A96" s="678" t="s">
        <v>902</v>
      </c>
      <c r="B96" s="793"/>
      <c r="C96" s="793"/>
      <c r="D96" s="793"/>
      <c r="E96" s="793"/>
      <c r="F96" s="793"/>
      <c r="G96" s="793"/>
      <c r="H96" s="877"/>
      <c r="I96" s="878"/>
    </row>
    <row r="97" spans="1:9" ht="25.5" x14ac:dyDescent="0.2">
      <c r="A97" s="78" t="s">
        <v>340</v>
      </c>
      <c r="B97" s="791" t="s">
        <v>908</v>
      </c>
      <c r="C97" s="792"/>
      <c r="D97" s="792"/>
      <c r="E97" s="792"/>
      <c r="F97" s="161" t="s">
        <v>563</v>
      </c>
      <c r="G97" s="311" t="s">
        <v>331</v>
      </c>
      <c r="H97" s="383" t="s">
        <v>563</v>
      </c>
      <c r="I97" s="401" t="s">
        <v>331</v>
      </c>
    </row>
    <row r="98" spans="1:9" x14ac:dyDescent="0.2">
      <c r="A98" s="68" t="s">
        <v>316</v>
      </c>
      <c r="B98" s="804" t="s">
        <v>904</v>
      </c>
      <c r="C98" s="679"/>
      <c r="D98" s="679"/>
      <c r="E98" s="679"/>
      <c r="F98" s="161">
        <f>(8.33%+(8.33%*1/3))/12</f>
        <v>9.2555555555555551E-3</v>
      </c>
      <c r="G98" s="319">
        <f>F98*G35</f>
        <v>17.015691</v>
      </c>
      <c r="H98" s="383">
        <f>(8.33%+(8.33%*1/3))/12</f>
        <v>9.2555555555555551E-3</v>
      </c>
      <c r="I98" s="404">
        <f>H98*I35</f>
        <v>18.376905555555556</v>
      </c>
    </row>
    <row r="99" spans="1:9" x14ac:dyDescent="0.2">
      <c r="A99" s="68" t="s">
        <v>318</v>
      </c>
      <c r="B99" s="804" t="s">
        <v>980</v>
      </c>
      <c r="C99" s="679"/>
      <c r="D99" s="679"/>
      <c r="E99" s="679"/>
      <c r="F99" s="161">
        <f>(1/12)/30</f>
        <v>2.7777777777777775E-3</v>
      </c>
      <c r="G99" s="319">
        <f>F99*G35</f>
        <v>5.1067499999999999</v>
      </c>
      <c r="H99" s="383">
        <f>(1/12)/30</f>
        <v>2.7777777777777775E-3</v>
      </c>
      <c r="I99" s="404">
        <f>H99*I35</f>
        <v>5.5152777777777775</v>
      </c>
    </row>
    <row r="100" spans="1:9" x14ac:dyDescent="0.2">
      <c r="A100" s="68" t="s">
        <v>321</v>
      </c>
      <c r="B100" s="804" t="s">
        <v>981</v>
      </c>
      <c r="C100" s="679"/>
      <c r="D100" s="679"/>
      <c r="E100" s="679"/>
      <c r="F100" s="258">
        <f>1.5%/12</f>
        <v>1.25E-3</v>
      </c>
      <c r="G100" s="319">
        <f>F100*G35</f>
        <v>2.2980375</v>
      </c>
      <c r="H100" s="390">
        <f>1.5%/12</f>
        <v>1.25E-3</v>
      </c>
      <c r="I100" s="404">
        <f>H100*I35</f>
        <v>2.4818750000000001</v>
      </c>
    </row>
    <row r="101" spans="1:9" ht="27" customHeight="1" x14ac:dyDescent="0.2">
      <c r="A101" s="68" t="s">
        <v>322</v>
      </c>
      <c r="B101" s="804" t="s">
        <v>986</v>
      </c>
      <c r="C101" s="679"/>
      <c r="D101" s="679"/>
      <c r="E101" s="679"/>
      <c r="F101" s="256">
        <f>8%/12/2</f>
        <v>3.3333333333333335E-3</v>
      </c>
      <c r="G101" s="319">
        <f>F101*G35</f>
        <v>6.1281000000000008</v>
      </c>
      <c r="H101" s="390">
        <f>8%/12/2</f>
        <v>3.3333333333333335E-3</v>
      </c>
      <c r="I101" s="404">
        <f>H101*I35</f>
        <v>6.6183333333333341</v>
      </c>
    </row>
    <row r="102" spans="1:9" ht="27" customHeight="1" x14ac:dyDescent="0.2">
      <c r="A102" s="68" t="s">
        <v>333</v>
      </c>
      <c r="B102" s="804" t="s">
        <v>983</v>
      </c>
      <c r="C102" s="679"/>
      <c r="D102" s="679"/>
      <c r="E102" s="679"/>
      <c r="F102" s="259">
        <f>1.5%/12</f>
        <v>1.25E-3</v>
      </c>
      <c r="G102" s="319">
        <f>F102*G35</f>
        <v>2.2980375</v>
      </c>
      <c r="H102" s="394">
        <f>1.5%/12</f>
        <v>1.25E-3</v>
      </c>
      <c r="I102" s="404">
        <f>H102*I35</f>
        <v>2.4818750000000001</v>
      </c>
    </row>
    <row r="103" spans="1:9" x14ac:dyDescent="0.2">
      <c r="A103" s="68" t="s">
        <v>334</v>
      </c>
      <c r="B103" s="804" t="s">
        <v>907</v>
      </c>
      <c r="C103" s="679"/>
      <c r="D103" s="679"/>
      <c r="E103" s="679"/>
      <c r="F103" s="161">
        <f>(5/12)/30</f>
        <v>1.388888888888889E-2</v>
      </c>
      <c r="G103" s="319">
        <f>F103*G35</f>
        <v>25.533750000000001</v>
      </c>
      <c r="H103" s="383">
        <f>(5/12)/30</f>
        <v>1.388888888888889E-2</v>
      </c>
      <c r="I103" s="404">
        <f>H103*I35</f>
        <v>27.576388888888889</v>
      </c>
    </row>
    <row r="104" spans="1:9" x14ac:dyDescent="0.2">
      <c r="A104" s="73"/>
      <c r="B104" s="752" t="s">
        <v>352</v>
      </c>
      <c r="C104" s="781"/>
      <c r="D104" s="781"/>
      <c r="E104" s="788"/>
      <c r="F104" s="75">
        <f>SUM(F98:F103)</f>
        <v>3.1755555555555558E-2</v>
      </c>
      <c r="G104" s="317">
        <f>SUM(G98:G103)</f>
        <v>58.380366000000009</v>
      </c>
      <c r="H104" s="384">
        <f>SUM(H98:H103)</f>
        <v>3.1755555555555558E-2</v>
      </c>
      <c r="I104" s="403">
        <f>SUM(I98:I103)</f>
        <v>63.050655555555565</v>
      </c>
    </row>
    <row r="105" spans="1:9" ht="24" customHeight="1" x14ac:dyDescent="0.2">
      <c r="A105" s="789" t="s">
        <v>1109</v>
      </c>
      <c r="B105" s="790"/>
      <c r="C105" s="790"/>
      <c r="D105" s="790"/>
      <c r="E105" s="790"/>
      <c r="F105" s="790"/>
      <c r="G105" s="790"/>
      <c r="H105" s="877"/>
      <c r="I105" s="878"/>
    </row>
    <row r="106" spans="1:9" x14ac:dyDescent="0.2">
      <c r="A106" s="791"/>
      <c r="B106" s="792"/>
      <c r="C106" s="792"/>
      <c r="D106" s="792"/>
      <c r="E106" s="792"/>
      <c r="F106" s="792"/>
      <c r="G106" s="792"/>
      <c r="H106" s="877"/>
      <c r="I106" s="878"/>
    </row>
    <row r="107" spans="1:9" x14ac:dyDescent="0.2">
      <c r="A107" s="678" t="s">
        <v>911</v>
      </c>
      <c r="B107" s="793"/>
      <c r="C107" s="793"/>
      <c r="D107" s="793"/>
      <c r="E107" s="793"/>
      <c r="F107" s="793"/>
      <c r="G107" s="793"/>
      <c r="H107" s="877"/>
      <c r="I107" s="878"/>
    </row>
    <row r="108" spans="1:9" ht="25.5" x14ac:dyDescent="0.2">
      <c r="A108" s="68" t="s">
        <v>347</v>
      </c>
      <c r="B108" s="791" t="s">
        <v>912</v>
      </c>
      <c r="C108" s="792"/>
      <c r="D108" s="792"/>
      <c r="E108" s="809"/>
      <c r="F108" s="161" t="s">
        <v>563</v>
      </c>
      <c r="G108" s="311" t="s">
        <v>331</v>
      </c>
      <c r="H108" s="383" t="s">
        <v>563</v>
      </c>
      <c r="I108" s="401" t="s">
        <v>331</v>
      </c>
    </row>
    <row r="109" spans="1:9" x14ac:dyDescent="0.2">
      <c r="A109" s="68" t="s">
        <v>316</v>
      </c>
      <c r="B109" s="804" t="s">
        <v>913</v>
      </c>
      <c r="C109" s="679"/>
      <c r="D109" s="679"/>
      <c r="E109" s="680"/>
      <c r="F109" s="143"/>
      <c r="G109" s="319"/>
      <c r="H109" s="421"/>
      <c r="I109" s="404"/>
    </row>
    <row r="110" spans="1:9" x14ac:dyDescent="0.2">
      <c r="A110" s="73"/>
      <c r="B110" s="752" t="s">
        <v>352</v>
      </c>
      <c r="C110" s="781"/>
      <c r="D110" s="781"/>
      <c r="E110" s="788"/>
      <c r="F110" s="756"/>
      <c r="G110" s="757"/>
      <c r="H110" s="879"/>
      <c r="I110" s="880"/>
    </row>
    <row r="111" spans="1:9" ht="18" customHeight="1" x14ac:dyDescent="0.2">
      <c r="A111" s="789" t="s">
        <v>1116</v>
      </c>
      <c r="B111" s="790"/>
      <c r="C111" s="790"/>
      <c r="D111" s="790"/>
      <c r="E111" s="790"/>
      <c r="F111" s="790"/>
      <c r="G111" s="790"/>
      <c r="H111" s="385"/>
      <c r="I111" s="405"/>
    </row>
    <row r="112" spans="1:9" x14ac:dyDescent="0.2">
      <c r="A112" s="775"/>
      <c r="B112" s="776"/>
      <c r="C112" s="776"/>
      <c r="D112" s="776"/>
      <c r="E112" s="776"/>
      <c r="F112" s="776"/>
      <c r="G112" s="776"/>
      <c r="H112" s="398"/>
      <c r="I112" s="417"/>
    </row>
    <row r="113" spans="1:9" x14ac:dyDescent="0.2">
      <c r="A113" s="83"/>
      <c r="B113" s="752" t="s">
        <v>887</v>
      </c>
      <c r="C113" s="781"/>
      <c r="D113" s="781"/>
      <c r="E113" s="781"/>
      <c r="F113" s="752"/>
      <c r="G113" s="753"/>
      <c r="H113" s="754"/>
      <c r="I113" s="755"/>
    </row>
    <row r="114" spans="1:9" ht="25.5" x14ac:dyDescent="0.2">
      <c r="A114" s="68">
        <v>4</v>
      </c>
      <c r="B114" s="820" t="s">
        <v>574</v>
      </c>
      <c r="C114" s="820"/>
      <c r="D114" s="820"/>
      <c r="E114" s="820"/>
      <c r="F114" s="161" t="s">
        <v>563</v>
      </c>
      <c r="G114" s="311" t="s">
        <v>331</v>
      </c>
      <c r="H114" s="383" t="s">
        <v>563</v>
      </c>
      <c r="I114" s="401" t="s">
        <v>331</v>
      </c>
    </row>
    <row r="115" spans="1:9" x14ac:dyDescent="0.2">
      <c r="A115" s="68" t="s">
        <v>340</v>
      </c>
      <c r="B115" s="819" t="s">
        <v>908</v>
      </c>
      <c r="C115" s="819"/>
      <c r="D115" s="819"/>
      <c r="E115" s="819"/>
      <c r="F115" s="161">
        <f>F104</f>
        <v>3.1755555555555558E-2</v>
      </c>
      <c r="G115" s="321">
        <f>G104</f>
        <v>58.380366000000009</v>
      </c>
      <c r="H115" s="383">
        <f>H104</f>
        <v>3.1755555555555558E-2</v>
      </c>
      <c r="I115" s="409">
        <f>I104</f>
        <v>63.050655555555565</v>
      </c>
    </row>
    <row r="116" spans="1:9" x14ac:dyDescent="0.2">
      <c r="A116" s="68" t="s">
        <v>347</v>
      </c>
      <c r="B116" s="819" t="s">
        <v>912</v>
      </c>
      <c r="C116" s="819"/>
      <c r="D116" s="819"/>
      <c r="E116" s="819"/>
      <c r="F116" s="161"/>
      <c r="G116" s="325"/>
      <c r="H116" s="383"/>
      <c r="I116" s="415"/>
    </row>
    <row r="117" spans="1:9" x14ac:dyDescent="0.2">
      <c r="A117" s="132"/>
      <c r="B117" s="752" t="s">
        <v>352</v>
      </c>
      <c r="C117" s="781"/>
      <c r="D117" s="781"/>
      <c r="E117" s="788"/>
      <c r="F117" s="75"/>
      <c r="G117" s="317">
        <f>SUM(G115:G116)</f>
        <v>58.380366000000009</v>
      </c>
      <c r="H117" s="384"/>
      <c r="I117" s="403">
        <f>SUM(I115:I116)</f>
        <v>63.050655555555565</v>
      </c>
    </row>
    <row r="118" spans="1:9" x14ac:dyDescent="0.2">
      <c r="A118" s="78"/>
      <c r="B118" s="86"/>
      <c r="C118" s="86"/>
      <c r="D118" s="86"/>
      <c r="E118" s="86"/>
      <c r="F118" s="80"/>
      <c r="G118" s="326"/>
      <c r="H118" s="383"/>
      <c r="I118" s="414"/>
    </row>
    <row r="119" spans="1:9" x14ac:dyDescent="0.2">
      <c r="A119" s="132"/>
      <c r="B119" s="769" t="s">
        <v>888</v>
      </c>
      <c r="C119" s="769"/>
      <c r="D119" s="769"/>
      <c r="E119" s="769"/>
      <c r="F119" s="769"/>
      <c r="G119" s="253"/>
      <c r="H119" s="754"/>
      <c r="I119" s="755"/>
    </row>
    <row r="120" spans="1:9" x14ac:dyDescent="0.2">
      <c r="A120" s="68">
        <v>5</v>
      </c>
      <c r="B120" s="678" t="s">
        <v>338</v>
      </c>
      <c r="C120" s="793"/>
      <c r="D120" s="793"/>
      <c r="E120" s="793"/>
      <c r="F120" s="818"/>
      <c r="G120" s="311" t="s">
        <v>331</v>
      </c>
      <c r="H120" s="380"/>
      <c r="I120" s="401" t="s">
        <v>331</v>
      </c>
    </row>
    <row r="121" spans="1:9" x14ac:dyDescent="0.2">
      <c r="A121" s="68" t="s">
        <v>316</v>
      </c>
      <c r="B121" s="804" t="s">
        <v>339</v>
      </c>
      <c r="C121" s="679"/>
      <c r="D121" s="679"/>
      <c r="E121" s="679"/>
      <c r="F121" s="680"/>
      <c r="G121" s="327">
        <f>Uniformes!J13</f>
        <v>87.564999999999998</v>
      </c>
      <c r="H121" s="395"/>
      <c r="I121" s="414">
        <f>Uniformes!J13</f>
        <v>87.564999999999998</v>
      </c>
    </row>
    <row r="122" spans="1:9" x14ac:dyDescent="0.2">
      <c r="A122" s="68" t="s">
        <v>318</v>
      </c>
      <c r="B122" s="804" t="s">
        <v>583</v>
      </c>
      <c r="C122" s="679"/>
      <c r="D122" s="679"/>
      <c r="E122" s="679"/>
      <c r="F122" s="680"/>
      <c r="G122" s="327"/>
      <c r="H122" s="395"/>
      <c r="I122" s="414"/>
    </row>
    <row r="123" spans="1:9" x14ac:dyDescent="0.2">
      <c r="A123" s="78" t="s">
        <v>321</v>
      </c>
      <c r="B123" s="804" t="s">
        <v>584</v>
      </c>
      <c r="C123" s="679"/>
      <c r="D123" s="679"/>
      <c r="E123" s="679"/>
      <c r="F123" s="680"/>
      <c r="G123" s="327">
        <f>'Ferramentas - Equipts'!F110</f>
        <v>44.99</v>
      </c>
      <c r="H123" s="395"/>
      <c r="I123" s="414">
        <f>'Ferramentas - Equipts'!F110</f>
        <v>44.99</v>
      </c>
    </row>
    <row r="124" spans="1:9" x14ac:dyDescent="0.2">
      <c r="A124" s="78" t="s">
        <v>322</v>
      </c>
      <c r="B124" s="804" t="s">
        <v>575</v>
      </c>
      <c r="C124" s="679"/>
      <c r="D124" s="679"/>
      <c r="E124" s="679"/>
      <c r="F124" s="680"/>
      <c r="G124" s="327"/>
      <c r="H124" s="395"/>
      <c r="I124" s="414"/>
    </row>
    <row r="125" spans="1:9" x14ac:dyDescent="0.2">
      <c r="A125" s="73"/>
      <c r="B125" s="752" t="s">
        <v>352</v>
      </c>
      <c r="C125" s="781"/>
      <c r="D125" s="781"/>
      <c r="E125" s="781"/>
      <c r="F125" s="788"/>
      <c r="G125" s="317">
        <f>SUM(G121:G124)</f>
        <v>132.55500000000001</v>
      </c>
      <c r="H125" s="389"/>
      <c r="I125" s="403">
        <f>SUM(I121:I124)</f>
        <v>132.55500000000001</v>
      </c>
    </row>
    <row r="126" spans="1:9" x14ac:dyDescent="0.2">
      <c r="A126" s="845" t="s">
        <v>1035</v>
      </c>
      <c r="B126" s="846"/>
      <c r="C126" s="846"/>
      <c r="D126" s="846"/>
      <c r="E126" s="846"/>
      <c r="F126" s="846"/>
      <c r="G126" s="846"/>
      <c r="H126" s="877"/>
      <c r="I126" s="878"/>
    </row>
    <row r="127" spans="1:9" x14ac:dyDescent="0.2">
      <c r="A127" s="129"/>
      <c r="B127" s="84"/>
      <c r="C127" s="84"/>
      <c r="D127" s="84"/>
      <c r="E127" s="84"/>
      <c r="F127" s="80"/>
      <c r="G127" s="328"/>
      <c r="H127" s="877"/>
      <c r="I127" s="878"/>
    </row>
    <row r="128" spans="1:9" x14ac:dyDescent="0.2">
      <c r="A128" s="752" t="s">
        <v>891</v>
      </c>
      <c r="B128" s="781"/>
      <c r="C128" s="781"/>
      <c r="D128" s="781"/>
      <c r="E128" s="781"/>
      <c r="F128" s="781"/>
      <c r="G128" s="781"/>
      <c r="H128" s="422"/>
      <c r="I128" s="426"/>
    </row>
    <row r="129" spans="1:9" x14ac:dyDescent="0.2">
      <c r="A129" s="68">
        <v>6</v>
      </c>
      <c r="B129" s="820" t="s">
        <v>349</v>
      </c>
      <c r="C129" s="820"/>
      <c r="D129" s="820"/>
      <c r="E129" s="874" t="s">
        <v>563</v>
      </c>
      <c r="F129" s="874"/>
      <c r="G129" s="329" t="s">
        <v>331</v>
      </c>
      <c r="H129" s="396"/>
      <c r="I129" s="402" t="s">
        <v>331</v>
      </c>
    </row>
    <row r="130" spans="1:9" ht="12.75" customHeight="1" x14ac:dyDescent="0.2">
      <c r="A130" s="68" t="s">
        <v>316</v>
      </c>
      <c r="B130" s="804" t="s">
        <v>350</v>
      </c>
      <c r="C130" s="679"/>
      <c r="D130" s="680"/>
      <c r="E130" s="847">
        <f>ADM</f>
        <v>2.3199999999999998E-2</v>
      </c>
      <c r="F130" s="848"/>
      <c r="G130" s="327">
        <f>(G35+G81+G91+G117+G125)*E130</f>
        <v>86.668100885110164</v>
      </c>
      <c r="H130" s="395"/>
      <c r="I130" s="414">
        <f>(I35+I81+I91+I117+I125)*E130</f>
        <v>92.47786150850412</v>
      </c>
    </row>
    <row r="131" spans="1:9" ht="12.75" customHeight="1" x14ac:dyDescent="0.2">
      <c r="A131" s="68" t="s">
        <v>318</v>
      </c>
      <c r="B131" s="804" t="s">
        <v>576</v>
      </c>
      <c r="C131" s="679"/>
      <c r="D131" s="680"/>
      <c r="E131" s="847">
        <f>LUCRO_ENGEMIL</f>
        <v>2.3300000000000001E-2</v>
      </c>
      <c r="F131" s="848"/>
      <c r="G131" s="327">
        <f>(G35+G81+G91+G117+G125+G130)*E131</f>
        <v>89.061037036100103</v>
      </c>
      <c r="H131" s="395"/>
      <c r="I131" s="414">
        <f>(I35+I81+I91+I117+I125+I130)*E131</f>
        <v>95.031207153671701</v>
      </c>
    </row>
    <row r="132" spans="1:9" x14ac:dyDescent="0.2">
      <c r="A132" s="68" t="s">
        <v>321</v>
      </c>
      <c r="B132" s="804" t="s">
        <v>351</v>
      </c>
      <c r="C132" s="679"/>
      <c r="D132" s="680"/>
      <c r="E132" s="847">
        <f>SUM(E133:F134)</f>
        <v>0.10150000000000001</v>
      </c>
      <c r="F132" s="848"/>
      <c r="G132" s="325"/>
      <c r="H132" s="397"/>
      <c r="I132" s="415"/>
    </row>
    <row r="133" spans="1:9" ht="25.5" customHeight="1" x14ac:dyDescent="0.2">
      <c r="A133" s="85"/>
      <c r="B133" s="819" t="s">
        <v>971</v>
      </c>
      <c r="C133" s="819"/>
      <c r="D133" s="819"/>
      <c r="E133" s="847">
        <v>8.1500000000000003E-2</v>
      </c>
      <c r="F133" s="848"/>
      <c r="G133" s="327">
        <f>E133*G147</f>
        <v>354.7924162933387</v>
      </c>
      <c r="H133" s="395"/>
      <c r="I133" s="414">
        <f>E133*I147</f>
        <v>378.57578051395666</v>
      </c>
    </row>
    <row r="134" spans="1:9" ht="12.75" customHeight="1" x14ac:dyDescent="0.2">
      <c r="A134" s="85"/>
      <c r="B134" s="819" t="s">
        <v>972</v>
      </c>
      <c r="C134" s="819"/>
      <c r="D134" s="819"/>
      <c r="E134" s="847">
        <v>0.02</v>
      </c>
      <c r="F134" s="848"/>
      <c r="G134" s="327">
        <f>E134*G147</f>
        <v>87.065623630267169</v>
      </c>
      <c r="H134" s="395"/>
      <c r="I134" s="414">
        <f>E134*I147</f>
        <v>92.902032027964822</v>
      </c>
    </row>
    <row r="135" spans="1:9" x14ac:dyDescent="0.2">
      <c r="A135" s="73"/>
      <c r="B135" s="752" t="s">
        <v>352</v>
      </c>
      <c r="C135" s="781"/>
      <c r="D135" s="788"/>
      <c r="E135" s="849">
        <f>E130+E131+E132</f>
        <v>0.14800000000000002</v>
      </c>
      <c r="F135" s="788"/>
      <c r="G135" s="330">
        <f>SUM(G130:G134)</f>
        <v>617.58717784481621</v>
      </c>
      <c r="H135" s="389"/>
      <c r="I135" s="403">
        <f>SUM(I130:I134)</f>
        <v>658.98688120409724</v>
      </c>
    </row>
    <row r="136" spans="1:9" x14ac:dyDescent="0.2">
      <c r="A136" s="845" t="s">
        <v>1036</v>
      </c>
      <c r="B136" s="846"/>
      <c r="C136" s="846"/>
      <c r="D136" s="846"/>
      <c r="E136" s="846"/>
      <c r="F136" s="846"/>
      <c r="G136" s="846"/>
      <c r="H136" s="877"/>
      <c r="I136" s="878"/>
    </row>
    <row r="137" spans="1:9" x14ac:dyDescent="0.2">
      <c r="A137" s="845" t="s">
        <v>1037</v>
      </c>
      <c r="B137" s="846"/>
      <c r="C137" s="846"/>
      <c r="D137" s="846"/>
      <c r="E137" s="846"/>
      <c r="F137" s="846"/>
      <c r="G137" s="846"/>
      <c r="H137" s="877"/>
      <c r="I137" s="878"/>
    </row>
    <row r="138" spans="1:9" x14ac:dyDescent="0.2">
      <c r="A138" s="781" t="s">
        <v>577</v>
      </c>
      <c r="B138" s="781"/>
      <c r="C138" s="781"/>
      <c r="D138" s="781"/>
      <c r="E138" s="781"/>
      <c r="F138" s="781"/>
      <c r="G138" s="781"/>
      <c r="H138" s="754"/>
      <c r="I138" s="755"/>
    </row>
    <row r="139" spans="1:9" x14ac:dyDescent="0.2">
      <c r="A139" s="87"/>
      <c r="B139" s="791" t="s">
        <v>353</v>
      </c>
      <c r="C139" s="792"/>
      <c r="D139" s="792"/>
      <c r="E139" s="792"/>
      <c r="F139" s="809"/>
      <c r="G139" s="310" t="s">
        <v>354</v>
      </c>
      <c r="H139" s="398"/>
      <c r="I139" s="417" t="s">
        <v>354</v>
      </c>
    </row>
    <row r="140" spans="1:9" x14ac:dyDescent="0.2">
      <c r="A140" s="68" t="s">
        <v>316</v>
      </c>
      <c r="B140" s="844" t="s">
        <v>947</v>
      </c>
      <c r="C140" s="842"/>
      <c r="D140" s="842"/>
      <c r="E140" s="842"/>
      <c r="F140" s="843"/>
      <c r="G140" s="331">
        <f>G35</f>
        <v>1838.43</v>
      </c>
      <c r="H140" s="399"/>
      <c r="I140" s="418">
        <f>I35</f>
        <v>1985.5</v>
      </c>
    </row>
    <row r="141" spans="1:9" x14ac:dyDescent="0.2">
      <c r="A141" s="68" t="s">
        <v>318</v>
      </c>
      <c r="B141" s="844" t="s">
        <v>948</v>
      </c>
      <c r="C141" s="842"/>
      <c r="D141" s="842"/>
      <c r="E141" s="842"/>
      <c r="F141" s="843"/>
      <c r="G141" s="331">
        <f>G81</f>
        <v>1620.7355165943</v>
      </c>
      <c r="H141" s="399"/>
      <c r="I141" s="418">
        <f>I81</f>
        <v>1712.5825319866667</v>
      </c>
    </row>
    <row r="142" spans="1:9" x14ac:dyDescent="0.2">
      <c r="A142" s="68" t="s">
        <v>321</v>
      </c>
      <c r="B142" s="844" t="s">
        <v>970</v>
      </c>
      <c r="C142" s="842"/>
      <c r="D142" s="842"/>
      <c r="E142" s="842"/>
      <c r="F142" s="843"/>
      <c r="G142" s="331">
        <f>G91</f>
        <v>85.593121074242106</v>
      </c>
      <c r="H142" s="399"/>
      <c r="I142" s="418">
        <f>I91</f>
        <v>92.426532651921121</v>
      </c>
    </row>
    <row r="143" spans="1:9" x14ac:dyDescent="0.2">
      <c r="A143" s="68" t="s">
        <v>322</v>
      </c>
      <c r="B143" s="844" t="s">
        <v>964</v>
      </c>
      <c r="C143" s="842"/>
      <c r="D143" s="842"/>
      <c r="E143" s="842"/>
      <c r="F143" s="843"/>
      <c r="G143" s="331">
        <f>G117</f>
        <v>58.380366000000009</v>
      </c>
      <c r="H143" s="399"/>
      <c r="I143" s="418">
        <f>I117</f>
        <v>63.050655555555565</v>
      </c>
    </row>
    <row r="144" spans="1:9" x14ac:dyDescent="0.2">
      <c r="A144" s="68" t="s">
        <v>333</v>
      </c>
      <c r="B144" s="842" t="s">
        <v>969</v>
      </c>
      <c r="C144" s="842"/>
      <c r="D144" s="842"/>
      <c r="E144" s="842"/>
      <c r="F144" s="843"/>
      <c r="G144" s="331">
        <f>G125</f>
        <v>132.55500000000001</v>
      </c>
      <c r="H144" s="399"/>
      <c r="I144" s="418">
        <f>I125</f>
        <v>132.55500000000001</v>
      </c>
    </row>
    <row r="145" spans="1:9" x14ac:dyDescent="0.2">
      <c r="A145" s="137"/>
      <c r="B145" s="822" t="s">
        <v>578</v>
      </c>
      <c r="C145" s="822"/>
      <c r="D145" s="822"/>
      <c r="E145" s="822"/>
      <c r="F145" s="823"/>
      <c r="G145" s="331">
        <f>SUM(G140:G144)</f>
        <v>3735.6940036685419</v>
      </c>
      <c r="H145" s="399"/>
      <c r="I145" s="418">
        <f>SUM(I140:I144)</f>
        <v>3986.1147201941435</v>
      </c>
    </row>
    <row r="146" spans="1:9" x14ac:dyDescent="0.2">
      <c r="A146" s="136" t="s">
        <v>334</v>
      </c>
      <c r="B146" s="844" t="s">
        <v>952</v>
      </c>
      <c r="C146" s="842"/>
      <c r="D146" s="842"/>
      <c r="E146" s="842"/>
      <c r="F146" s="843"/>
      <c r="G146" s="331">
        <f>G135</f>
        <v>617.58717784481621</v>
      </c>
      <c r="H146" s="399"/>
      <c r="I146" s="418">
        <f>I135</f>
        <v>658.98688120409724</v>
      </c>
    </row>
    <row r="147" spans="1:9" ht="16.5" thickBot="1" x14ac:dyDescent="0.25">
      <c r="A147" s="89"/>
      <c r="B147" s="766" t="s">
        <v>355</v>
      </c>
      <c r="C147" s="767"/>
      <c r="D147" s="767"/>
      <c r="E147" s="767"/>
      <c r="F147" s="768"/>
      <c r="G147" s="428">
        <f>(G130+G131+G145)/(1-E132)</f>
        <v>4353.2811815133582</v>
      </c>
      <c r="H147" s="429"/>
      <c r="I147" s="430">
        <f>(I130+I131+I145)/(1-E132)</f>
        <v>4645.1016013982407</v>
      </c>
    </row>
  </sheetData>
  <mergeCells count="210">
    <mergeCell ref="H1:I1"/>
    <mergeCell ref="H24:I24"/>
    <mergeCell ref="H25:I25"/>
    <mergeCell ref="H26:I26"/>
    <mergeCell ref="H10:I10"/>
    <mergeCell ref="H11:I11"/>
    <mergeCell ref="H12:I12"/>
    <mergeCell ref="H13:I13"/>
    <mergeCell ref="H15:I15"/>
    <mergeCell ref="H16:I16"/>
    <mergeCell ref="H17:I18"/>
    <mergeCell ref="H22:I22"/>
    <mergeCell ref="H23:I23"/>
    <mergeCell ref="H20:I21"/>
    <mergeCell ref="H19:I19"/>
    <mergeCell ref="H5:I9"/>
    <mergeCell ref="H14:I14"/>
    <mergeCell ref="H2:I4"/>
    <mergeCell ref="B129:D129"/>
    <mergeCell ref="E129:F129"/>
    <mergeCell ref="B130:D130"/>
    <mergeCell ref="E130:F130"/>
    <mergeCell ref="B131:D131"/>
    <mergeCell ref="E131:F131"/>
    <mergeCell ref="B124:F124"/>
    <mergeCell ref="A126:G126"/>
    <mergeCell ref="A128:G128"/>
    <mergeCell ref="B125:F125"/>
    <mergeCell ref="B147:F147"/>
    <mergeCell ref="E135:F135"/>
    <mergeCell ref="A136:G136"/>
    <mergeCell ref="A137:G137"/>
    <mergeCell ref="B132:D132"/>
    <mergeCell ref="E132:F132"/>
    <mergeCell ref="B133:D133"/>
    <mergeCell ref="E133:F133"/>
    <mergeCell ref="B134:D134"/>
    <mergeCell ref="E134:F134"/>
    <mergeCell ref="B135:D135"/>
    <mergeCell ref="B142:F142"/>
    <mergeCell ref="B143:F143"/>
    <mergeCell ref="B144:F144"/>
    <mergeCell ref="B146:F146"/>
    <mergeCell ref="A138:G138"/>
    <mergeCell ref="B139:F139"/>
    <mergeCell ref="B140:F140"/>
    <mergeCell ref="B141:F141"/>
    <mergeCell ref="B145:F145"/>
    <mergeCell ref="B121:F121"/>
    <mergeCell ref="F110:G110"/>
    <mergeCell ref="B122:F122"/>
    <mergeCell ref="B123:F123"/>
    <mergeCell ref="B114:E114"/>
    <mergeCell ref="B115:E115"/>
    <mergeCell ref="B116:E116"/>
    <mergeCell ref="B108:E108"/>
    <mergeCell ref="B109:E109"/>
    <mergeCell ref="A111:G111"/>
    <mergeCell ref="A112:G112"/>
    <mergeCell ref="B120:F120"/>
    <mergeCell ref="B110:E110"/>
    <mergeCell ref="B117:E117"/>
    <mergeCell ref="B119:F119"/>
    <mergeCell ref="B113:E113"/>
    <mergeCell ref="F113:G113"/>
    <mergeCell ref="A105:G105"/>
    <mergeCell ref="A106:G106"/>
    <mergeCell ref="A107:G107"/>
    <mergeCell ref="B98:E98"/>
    <mergeCell ref="B99:E99"/>
    <mergeCell ref="B100:E100"/>
    <mergeCell ref="B101:E101"/>
    <mergeCell ref="B102:E102"/>
    <mergeCell ref="B103:E103"/>
    <mergeCell ref="B104:E104"/>
    <mergeCell ref="B81:F81"/>
    <mergeCell ref="B83:E83"/>
    <mergeCell ref="A94:G94"/>
    <mergeCell ref="A95:G95"/>
    <mergeCell ref="A96:G96"/>
    <mergeCell ref="B97:E97"/>
    <mergeCell ref="B88:E88"/>
    <mergeCell ref="B89:E89"/>
    <mergeCell ref="B90:E90"/>
    <mergeCell ref="B91:E91"/>
    <mergeCell ref="B93:E93"/>
    <mergeCell ref="B54:E54"/>
    <mergeCell ref="B55:E55"/>
    <mergeCell ref="B56:E56"/>
    <mergeCell ref="B57:E57"/>
    <mergeCell ref="B58:E58"/>
    <mergeCell ref="B71:F71"/>
    <mergeCell ref="B72:F72"/>
    <mergeCell ref="A73:G73"/>
    <mergeCell ref="A74:G74"/>
    <mergeCell ref="B65:F65"/>
    <mergeCell ref="B66:F66"/>
    <mergeCell ref="B67:F67"/>
    <mergeCell ref="B68:F68"/>
    <mergeCell ref="B69:F69"/>
    <mergeCell ref="B70:F70"/>
    <mergeCell ref="B38:E38"/>
    <mergeCell ref="A45:G45"/>
    <mergeCell ref="A48:G48"/>
    <mergeCell ref="B49:E49"/>
    <mergeCell ref="B50:E50"/>
    <mergeCell ref="B51:E51"/>
    <mergeCell ref="B52:E52"/>
    <mergeCell ref="B53:E53"/>
    <mergeCell ref="A39:G39"/>
    <mergeCell ref="B40:F40"/>
    <mergeCell ref="B41:E41"/>
    <mergeCell ref="B42:E42"/>
    <mergeCell ref="A44:G44"/>
    <mergeCell ref="B43:E43"/>
    <mergeCell ref="A46:G46"/>
    <mergeCell ref="A47:G47"/>
    <mergeCell ref="B27:E27"/>
    <mergeCell ref="B35:E35"/>
    <mergeCell ref="A37:G37"/>
    <mergeCell ref="B28:E28"/>
    <mergeCell ref="B29:E29"/>
    <mergeCell ref="B30:E30"/>
    <mergeCell ref="B31:E31"/>
    <mergeCell ref="B32:E32"/>
    <mergeCell ref="B33:E33"/>
    <mergeCell ref="B34:E34"/>
    <mergeCell ref="A36:G36"/>
    <mergeCell ref="B25:E25"/>
    <mergeCell ref="F25:G25"/>
    <mergeCell ref="B26:E26"/>
    <mergeCell ref="F26:G26"/>
    <mergeCell ref="A21:G21"/>
    <mergeCell ref="B22:E22"/>
    <mergeCell ref="F22:G22"/>
    <mergeCell ref="B23:E23"/>
    <mergeCell ref="F23:G23"/>
    <mergeCell ref="B24:E24"/>
    <mergeCell ref="F24:G24"/>
    <mergeCell ref="A16:D16"/>
    <mergeCell ref="F16:G16"/>
    <mergeCell ref="A19:G19"/>
    <mergeCell ref="A20:G20"/>
    <mergeCell ref="B12:E12"/>
    <mergeCell ref="F12:G12"/>
    <mergeCell ref="B13:E13"/>
    <mergeCell ref="F13:G13"/>
    <mergeCell ref="A14:G14"/>
    <mergeCell ref="A15:D15"/>
    <mergeCell ref="F15:G15"/>
    <mergeCell ref="A17:E17"/>
    <mergeCell ref="F17:G18"/>
    <mergeCell ref="A18:E18"/>
    <mergeCell ref="A1:G1"/>
    <mergeCell ref="B10:E10"/>
    <mergeCell ref="F10:G10"/>
    <mergeCell ref="B11:E11"/>
    <mergeCell ref="F11:G11"/>
    <mergeCell ref="A7:G7"/>
    <mergeCell ref="A8:G8"/>
    <mergeCell ref="A6:G6"/>
    <mergeCell ref="A9:G9"/>
    <mergeCell ref="A2:G3"/>
    <mergeCell ref="A4:G4"/>
    <mergeCell ref="A5:G5"/>
    <mergeCell ref="H36:I36"/>
    <mergeCell ref="H37:I37"/>
    <mergeCell ref="F38:G38"/>
    <mergeCell ref="H38:I38"/>
    <mergeCell ref="H44:I44"/>
    <mergeCell ref="H45:I45"/>
    <mergeCell ref="H46:I46"/>
    <mergeCell ref="H47:I47"/>
    <mergeCell ref="H48:I48"/>
    <mergeCell ref="H59:I59"/>
    <mergeCell ref="H60:I60"/>
    <mergeCell ref="H61:I61"/>
    <mergeCell ref="H62:I62"/>
    <mergeCell ref="H63:I63"/>
    <mergeCell ref="F93:G93"/>
    <mergeCell ref="H93:I93"/>
    <mergeCell ref="H94:I94"/>
    <mergeCell ref="H95:I95"/>
    <mergeCell ref="A59:G59"/>
    <mergeCell ref="A60:G60"/>
    <mergeCell ref="A61:G61"/>
    <mergeCell ref="A63:G63"/>
    <mergeCell ref="B64:F64"/>
    <mergeCell ref="B76:F76"/>
    <mergeCell ref="A82:G82"/>
    <mergeCell ref="B84:E84"/>
    <mergeCell ref="B85:E85"/>
    <mergeCell ref="B86:E86"/>
    <mergeCell ref="B87:E87"/>
    <mergeCell ref="B77:F77"/>
    <mergeCell ref="B78:F78"/>
    <mergeCell ref="B79:F79"/>
    <mergeCell ref="B80:F80"/>
    <mergeCell ref="H126:I126"/>
    <mergeCell ref="H127:I127"/>
    <mergeCell ref="H138:I138"/>
    <mergeCell ref="H136:I136"/>
    <mergeCell ref="H137:I137"/>
    <mergeCell ref="H96:I96"/>
    <mergeCell ref="H105:I105"/>
    <mergeCell ref="H106:I106"/>
    <mergeCell ref="H107:I107"/>
    <mergeCell ref="H110:I110"/>
    <mergeCell ref="H113:I113"/>
    <mergeCell ref="H119:I119"/>
  </mergeCells>
  <printOptions horizontalCentered="1"/>
  <pageMargins left="0.53149606299212604" right="0.53149606299212604" top="1.1811023622047245" bottom="0.98425196850393704" header="0" footer="0"/>
  <pageSetup paperSize="9" scale="8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J147"/>
  <sheetViews>
    <sheetView view="pageBreakPreview" topLeftCell="A46" zoomScale="120" zoomScaleNormal="150" zoomScaleSheetLayoutView="120" workbookViewId="0">
      <selection activeCell="F52" sqref="F52"/>
    </sheetView>
  </sheetViews>
  <sheetFormatPr defaultRowHeight="12.75" x14ac:dyDescent="0.2"/>
  <cols>
    <col min="1" max="1" width="6.140625" style="91" customWidth="1"/>
    <col min="2" max="2" width="9.140625" style="91"/>
    <col min="3" max="3" width="11.85546875" style="91" customWidth="1"/>
    <col min="4" max="4" width="28.42578125" style="91" customWidth="1"/>
    <col min="5" max="5" width="34.140625" style="91" customWidth="1"/>
    <col min="6" max="6" width="10.7109375" style="298" customWidth="1"/>
    <col min="7" max="7" width="15.7109375" style="91" customWidth="1"/>
    <col min="8" max="8" width="11.42578125" style="431" customWidth="1"/>
    <col min="9" max="9" width="17.7109375" style="427" customWidth="1"/>
    <col min="10" max="16384" width="9.140625" style="91"/>
  </cols>
  <sheetData>
    <row r="1" spans="1:9" ht="13.5" thickBot="1" x14ac:dyDescent="0.25">
      <c r="A1" s="826"/>
      <c r="B1" s="826"/>
      <c r="C1" s="826"/>
      <c r="D1" s="826"/>
      <c r="E1" s="826"/>
      <c r="F1" s="826"/>
      <c r="G1" s="826"/>
      <c r="H1" s="920"/>
      <c r="I1" s="921"/>
    </row>
    <row r="2" spans="1:9" ht="36" customHeight="1" x14ac:dyDescent="0.2">
      <c r="A2" s="827" t="s">
        <v>1102</v>
      </c>
      <c r="B2" s="828"/>
      <c r="C2" s="828"/>
      <c r="D2" s="828"/>
      <c r="E2" s="828"/>
      <c r="F2" s="828"/>
      <c r="G2" s="828"/>
      <c r="H2" s="739" t="s">
        <v>1004</v>
      </c>
      <c r="I2" s="741"/>
    </row>
    <row r="3" spans="1:9" ht="39" customHeight="1" thickBot="1" x14ac:dyDescent="0.25">
      <c r="A3" s="829"/>
      <c r="B3" s="830"/>
      <c r="C3" s="830"/>
      <c r="D3" s="830"/>
      <c r="E3" s="830"/>
      <c r="F3" s="830"/>
      <c r="G3" s="830"/>
      <c r="H3" s="742"/>
      <c r="I3" s="744"/>
    </row>
    <row r="4" spans="1:9" ht="45" customHeight="1" x14ac:dyDescent="0.2">
      <c r="A4" s="883" t="s">
        <v>579</v>
      </c>
      <c r="B4" s="883"/>
      <c r="C4" s="883"/>
      <c r="D4" s="883"/>
      <c r="E4" s="883"/>
      <c r="F4" s="883"/>
      <c r="G4" s="884"/>
      <c r="H4" s="748"/>
      <c r="I4" s="749"/>
    </row>
    <row r="5" spans="1:9" ht="15" customHeight="1" x14ac:dyDescent="0.2">
      <c r="A5" s="785" t="s">
        <v>927</v>
      </c>
      <c r="B5" s="786"/>
      <c r="C5" s="786"/>
      <c r="D5" s="786"/>
      <c r="E5" s="786"/>
      <c r="F5" s="786"/>
      <c r="G5" s="786"/>
      <c r="H5" s="900" t="s">
        <v>1141</v>
      </c>
      <c r="I5" s="901"/>
    </row>
    <row r="6" spans="1:9" x14ac:dyDescent="0.2">
      <c r="A6" s="785" t="s">
        <v>928</v>
      </c>
      <c r="B6" s="786"/>
      <c r="C6" s="786"/>
      <c r="D6" s="786"/>
      <c r="E6" s="786"/>
      <c r="F6" s="786"/>
      <c r="G6" s="786"/>
      <c r="H6" s="902"/>
      <c r="I6" s="903"/>
    </row>
    <row r="7" spans="1:9" ht="12.75" customHeight="1" x14ac:dyDescent="0.2">
      <c r="A7" s="785" t="s">
        <v>929</v>
      </c>
      <c r="B7" s="786"/>
      <c r="C7" s="786"/>
      <c r="D7" s="786"/>
      <c r="E7" s="786"/>
      <c r="F7" s="786"/>
      <c r="G7" s="786"/>
      <c r="H7" s="902"/>
      <c r="I7" s="903"/>
    </row>
    <row r="8" spans="1:9" ht="12.75" customHeight="1" x14ac:dyDescent="0.2">
      <c r="A8" s="685" t="s">
        <v>1147</v>
      </c>
      <c r="B8" s="686"/>
      <c r="C8" s="686"/>
      <c r="D8" s="686"/>
      <c r="E8" s="686"/>
      <c r="F8" s="686"/>
      <c r="G8" s="686"/>
      <c r="H8" s="902"/>
      <c r="I8" s="903"/>
    </row>
    <row r="9" spans="1:9" x14ac:dyDescent="0.2">
      <c r="A9" s="785" t="s">
        <v>546</v>
      </c>
      <c r="B9" s="786"/>
      <c r="C9" s="786"/>
      <c r="D9" s="786"/>
      <c r="E9" s="786"/>
      <c r="F9" s="786"/>
      <c r="G9" s="786"/>
      <c r="H9" s="904"/>
      <c r="I9" s="905"/>
    </row>
    <row r="10" spans="1:9" x14ac:dyDescent="0.2">
      <c r="A10" s="68" t="s">
        <v>316</v>
      </c>
      <c r="B10" s="770" t="s">
        <v>317</v>
      </c>
      <c r="C10" s="771"/>
      <c r="D10" s="771"/>
      <c r="E10" s="772"/>
      <c r="F10" s="773">
        <v>43580</v>
      </c>
      <c r="G10" s="774"/>
      <c r="H10" s="640">
        <v>43669</v>
      </c>
      <c r="I10" s="641"/>
    </row>
    <row r="11" spans="1:9" x14ac:dyDescent="0.2">
      <c r="A11" s="68" t="s">
        <v>318</v>
      </c>
      <c r="B11" s="770" t="s">
        <v>319</v>
      </c>
      <c r="C11" s="771"/>
      <c r="D11" s="771"/>
      <c r="E11" s="772"/>
      <c r="F11" s="775" t="s">
        <v>320</v>
      </c>
      <c r="G11" s="776"/>
      <c r="H11" s="642" t="s">
        <v>320</v>
      </c>
      <c r="I11" s="643"/>
    </row>
    <row r="12" spans="1:9" ht="24.75" customHeight="1" x14ac:dyDescent="0.2">
      <c r="A12" s="69" t="s">
        <v>321</v>
      </c>
      <c r="B12" s="782" t="s">
        <v>605</v>
      </c>
      <c r="C12" s="783"/>
      <c r="D12" s="783"/>
      <c r="E12" s="784"/>
      <c r="F12" s="752" t="s">
        <v>879</v>
      </c>
      <c r="G12" s="781"/>
      <c r="H12" s="933" t="s">
        <v>1151</v>
      </c>
      <c r="I12" s="857"/>
    </row>
    <row r="13" spans="1:9" x14ac:dyDescent="0.2">
      <c r="A13" s="68" t="s">
        <v>322</v>
      </c>
      <c r="B13" s="770" t="s">
        <v>1140</v>
      </c>
      <c r="C13" s="771"/>
      <c r="D13" s="771"/>
      <c r="E13" s="772"/>
      <c r="F13" s="775">
        <v>24</v>
      </c>
      <c r="G13" s="776"/>
      <c r="H13" s="860">
        <v>24</v>
      </c>
      <c r="I13" s="861"/>
    </row>
    <row r="14" spans="1:9" x14ac:dyDescent="0.2">
      <c r="A14" s="752" t="s">
        <v>547</v>
      </c>
      <c r="B14" s="781"/>
      <c r="C14" s="781"/>
      <c r="D14" s="781"/>
      <c r="E14" s="781"/>
      <c r="F14" s="781"/>
      <c r="G14" s="781"/>
      <c r="H14" s="906"/>
      <c r="I14" s="907"/>
    </row>
    <row r="15" spans="1:9" ht="39" customHeight="1" x14ac:dyDescent="0.2">
      <c r="A15" s="787" t="s">
        <v>323</v>
      </c>
      <c r="B15" s="787"/>
      <c r="C15" s="787"/>
      <c r="D15" s="787"/>
      <c r="E15" s="314" t="s">
        <v>324</v>
      </c>
      <c r="F15" s="927" t="s">
        <v>899</v>
      </c>
      <c r="G15" s="928"/>
      <c r="H15" s="934" t="s">
        <v>899</v>
      </c>
      <c r="I15" s="935"/>
    </row>
    <row r="16" spans="1:9" ht="16.5" customHeight="1" x14ac:dyDescent="0.2">
      <c r="A16" s="777" t="s">
        <v>614</v>
      </c>
      <c r="B16" s="778"/>
      <c r="C16" s="778"/>
      <c r="D16" s="779"/>
      <c r="E16" s="78" t="s">
        <v>325</v>
      </c>
      <c r="F16" s="820">
        <v>1</v>
      </c>
      <c r="G16" s="791"/>
      <c r="H16" s="800">
        <v>1</v>
      </c>
      <c r="I16" s="801"/>
    </row>
    <row r="17" spans="1:9" ht="22.5" customHeight="1" x14ac:dyDescent="0.2">
      <c r="A17" s="789" t="s">
        <v>1112</v>
      </c>
      <c r="B17" s="790"/>
      <c r="C17" s="790"/>
      <c r="D17" s="790"/>
      <c r="E17" s="790"/>
      <c r="F17" s="929"/>
      <c r="G17" s="930"/>
      <c r="H17" s="800"/>
      <c r="I17" s="801"/>
    </row>
    <row r="18" spans="1:9" ht="21.75" customHeight="1" x14ac:dyDescent="0.2">
      <c r="A18" s="789" t="s">
        <v>1113</v>
      </c>
      <c r="B18" s="790"/>
      <c r="C18" s="790"/>
      <c r="D18" s="790"/>
      <c r="E18" s="790"/>
      <c r="F18" s="931"/>
      <c r="G18" s="932"/>
      <c r="H18" s="800"/>
      <c r="I18" s="801"/>
    </row>
    <row r="19" spans="1:9" x14ac:dyDescent="0.2">
      <c r="A19" s="769" t="s">
        <v>901</v>
      </c>
      <c r="B19" s="769"/>
      <c r="C19" s="769"/>
      <c r="D19" s="769"/>
      <c r="E19" s="769"/>
      <c r="F19" s="769"/>
      <c r="G19" s="752"/>
      <c r="H19" s="936"/>
      <c r="I19" s="937"/>
    </row>
    <row r="20" spans="1:9" x14ac:dyDescent="0.2">
      <c r="A20" s="836" t="s">
        <v>326</v>
      </c>
      <c r="B20" s="836"/>
      <c r="C20" s="836"/>
      <c r="D20" s="836"/>
      <c r="E20" s="836"/>
      <c r="F20" s="836"/>
      <c r="G20" s="837"/>
      <c r="H20" s="936"/>
      <c r="I20" s="937"/>
    </row>
    <row r="21" spans="1:9" x14ac:dyDescent="0.2">
      <c r="A21" s="836" t="s">
        <v>327</v>
      </c>
      <c r="B21" s="836"/>
      <c r="C21" s="836"/>
      <c r="D21" s="836"/>
      <c r="E21" s="836"/>
      <c r="F21" s="836"/>
      <c r="G21" s="837"/>
      <c r="H21" s="936"/>
      <c r="I21" s="937"/>
    </row>
    <row r="22" spans="1:9" ht="30.75" customHeight="1" x14ac:dyDescent="0.2">
      <c r="A22" s="68">
        <v>1</v>
      </c>
      <c r="B22" s="810" t="s">
        <v>328</v>
      </c>
      <c r="C22" s="811"/>
      <c r="D22" s="811"/>
      <c r="E22" s="812"/>
      <c r="F22" s="785" t="s">
        <v>613</v>
      </c>
      <c r="G22" s="786"/>
      <c r="H22" s="866" t="s">
        <v>613</v>
      </c>
      <c r="I22" s="867"/>
    </row>
    <row r="23" spans="1:9" x14ac:dyDescent="0.2">
      <c r="A23" s="68">
        <v>2</v>
      </c>
      <c r="B23" s="810" t="s">
        <v>549</v>
      </c>
      <c r="C23" s="811"/>
      <c r="D23" s="811"/>
      <c r="E23" s="812"/>
      <c r="F23" s="752" t="s">
        <v>585</v>
      </c>
      <c r="G23" s="781"/>
      <c r="H23" s="750" t="s">
        <v>585</v>
      </c>
      <c r="I23" s="751"/>
    </row>
    <row r="24" spans="1:9" x14ac:dyDescent="0.2">
      <c r="A24" s="69">
        <v>3</v>
      </c>
      <c r="B24" s="813" t="s">
        <v>550</v>
      </c>
      <c r="C24" s="814"/>
      <c r="D24" s="814"/>
      <c r="E24" s="815"/>
      <c r="F24" s="816">
        <v>1838.43</v>
      </c>
      <c r="G24" s="817"/>
      <c r="H24" s="852">
        <v>1985.5</v>
      </c>
      <c r="I24" s="853"/>
    </row>
    <row r="25" spans="1:9" ht="27" customHeight="1" x14ac:dyDescent="0.2">
      <c r="A25" s="68">
        <v>4</v>
      </c>
      <c r="B25" s="810" t="s">
        <v>329</v>
      </c>
      <c r="C25" s="811"/>
      <c r="D25" s="811"/>
      <c r="E25" s="812"/>
      <c r="F25" s="785" t="str">
        <f>A16</f>
        <v xml:space="preserve"> Técnico(a) Eletromecânico de Grupo Gerador</v>
      </c>
      <c r="G25" s="786"/>
      <c r="H25" s="866" t="str">
        <f>A16</f>
        <v xml:space="preserve"> Técnico(a) Eletromecânico de Grupo Gerador</v>
      </c>
      <c r="I25" s="867"/>
    </row>
    <row r="26" spans="1:9" x14ac:dyDescent="0.2">
      <c r="A26" s="68">
        <v>5</v>
      </c>
      <c r="B26" s="810" t="s">
        <v>608</v>
      </c>
      <c r="C26" s="811"/>
      <c r="D26" s="811"/>
      <c r="E26" s="812"/>
      <c r="F26" s="835" t="s">
        <v>610</v>
      </c>
      <c r="G26" s="792"/>
      <c r="H26" s="856" t="s">
        <v>610</v>
      </c>
      <c r="I26" s="857"/>
    </row>
    <row r="27" spans="1:9" x14ac:dyDescent="0.2">
      <c r="A27" s="70"/>
      <c r="B27" s="891" t="s">
        <v>973</v>
      </c>
      <c r="C27" s="892"/>
      <c r="D27" s="892"/>
      <c r="E27" s="892"/>
      <c r="F27" s="785"/>
      <c r="G27" s="786"/>
      <c r="H27" s="910"/>
      <c r="I27" s="911"/>
    </row>
    <row r="28" spans="1:9" x14ac:dyDescent="0.2">
      <c r="A28" s="68">
        <v>1</v>
      </c>
      <c r="B28" s="791" t="s">
        <v>330</v>
      </c>
      <c r="C28" s="792"/>
      <c r="D28" s="792"/>
      <c r="E28" s="809"/>
      <c r="F28" s="284" t="s">
        <v>341</v>
      </c>
      <c r="G28" s="311" t="s">
        <v>331</v>
      </c>
      <c r="H28" s="432" t="s">
        <v>341</v>
      </c>
      <c r="I28" s="401" t="s">
        <v>331</v>
      </c>
    </row>
    <row r="29" spans="1:9" x14ac:dyDescent="0.2">
      <c r="A29" s="69" t="s">
        <v>316</v>
      </c>
      <c r="B29" s="922" t="s">
        <v>383</v>
      </c>
      <c r="C29" s="923"/>
      <c r="D29" s="923"/>
      <c r="E29" s="924"/>
      <c r="F29" s="285">
        <v>0.25</v>
      </c>
      <c r="G29" s="333">
        <f>F24/4</f>
        <v>459.60750000000002</v>
      </c>
      <c r="H29" s="479">
        <v>0.25</v>
      </c>
      <c r="I29" s="416">
        <f>H24/4</f>
        <v>496.375</v>
      </c>
    </row>
    <row r="30" spans="1:9" x14ac:dyDescent="0.2">
      <c r="A30" s="68" t="s">
        <v>318</v>
      </c>
      <c r="B30" s="804" t="s">
        <v>1001</v>
      </c>
      <c r="C30" s="679"/>
      <c r="D30" s="679"/>
      <c r="E30" s="680"/>
      <c r="F30" s="286">
        <v>0.3</v>
      </c>
      <c r="G30" s="319">
        <f>G29*F30</f>
        <v>137.88225</v>
      </c>
      <c r="H30" s="436">
        <v>0.3</v>
      </c>
      <c r="I30" s="404">
        <f>I29*H30</f>
        <v>148.91249999999999</v>
      </c>
    </row>
    <row r="31" spans="1:9" x14ac:dyDescent="0.2">
      <c r="A31" s="68" t="s">
        <v>321</v>
      </c>
      <c r="B31" s="804" t="s">
        <v>551</v>
      </c>
      <c r="C31" s="679"/>
      <c r="D31" s="679"/>
      <c r="E31" s="680"/>
      <c r="F31" s="286">
        <v>0</v>
      </c>
      <c r="G31" s="319">
        <f t="shared" ref="G31:G33" si="0">G30*F31</f>
        <v>0</v>
      </c>
      <c r="H31" s="436">
        <v>0</v>
      </c>
      <c r="I31" s="404">
        <f t="shared" ref="I31:I33" si="1">I30*H31</f>
        <v>0</v>
      </c>
    </row>
    <row r="32" spans="1:9" x14ac:dyDescent="0.2">
      <c r="A32" s="68" t="s">
        <v>322</v>
      </c>
      <c r="B32" s="804" t="s">
        <v>552</v>
      </c>
      <c r="C32" s="679"/>
      <c r="D32" s="679"/>
      <c r="E32" s="680"/>
      <c r="F32" s="286">
        <v>0</v>
      </c>
      <c r="G32" s="319">
        <f t="shared" si="0"/>
        <v>0</v>
      </c>
      <c r="H32" s="436">
        <v>0</v>
      </c>
      <c r="I32" s="404">
        <f t="shared" si="1"/>
        <v>0</v>
      </c>
    </row>
    <row r="33" spans="1:9" x14ac:dyDescent="0.2">
      <c r="A33" s="68" t="s">
        <v>333</v>
      </c>
      <c r="B33" s="804" t="s">
        <v>553</v>
      </c>
      <c r="C33" s="679"/>
      <c r="D33" s="679"/>
      <c r="E33" s="680"/>
      <c r="F33" s="286">
        <v>0</v>
      </c>
      <c r="G33" s="319">
        <f t="shared" si="0"/>
        <v>0</v>
      </c>
      <c r="H33" s="436">
        <v>0</v>
      </c>
      <c r="I33" s="404">
        <f t="shared" si="1"/>
        <v>0</v>
      </c>
    </row>
    <row r="34" spans="1:9" x14ac:dyDescent="0.2">
      <c r="A34" s="68" t="s">
        <v>334</v>
      </c>
      <c r="B34" s="804" t="s">
        <v>880</v>
      </c>
      <c r="C34" s="679"/>
      <c r="D34" s="679"/>
      <c r="E34" s="680"/>
      <c r="F34" s="286">
        <v>0</v>
      </c>
      <c r="G34" s="319">
        <v>0</v>
      </c>
      <c r="H34" s="436">
        <v>0</v>
      </c>
      <c r="I34" s="404">
        <v>0</v>
      </c>
    </row>
    <row r="35" spans="1:9" x14ac:dyDescent="0.2">
      <c r="A35" s="71"/>
      <c r="B35" s="752" t="s">
        <v>337</v>
      </c>
      <c r="C35" s="781"/>
      <c r="D35" s="781"/>
      <c r="E35" s="781"/>
      <c r="F35" s="287">
        <f>SUM(F29:F34)</f>
        <v>0.55000000000000004</v>
      </c>
      <c r="G35" s="317">
        <f>SUM(G29:G34)</f>
        <v>597.48974999999996</v>
      </c>
      <c r="H35" s="437">
        <f>SUM(H29:H34)</f>
        <v>0.55000000000000004</v>
      </c>
      <c r="I35" s="403">
        <f>SUM(I29:I34)</f>
        <v>645.28750000000002</v>
      </c>
    </row>
    <row r="36" spans="1:9" x14ac:dyDescent="0.2">
      <c r="A36" s="925" t="s">
        <v>1019</v>
      </c>
      <c r="B36" s="926"/>
      <c r="C36" s="926"/>
      <c r="D36" s="926"/>
      <c r="E36" s="926"/>
      <c r="F36" s="926"/>
      <c r="G36" s="926"/>
      <c r="H36" s="906"/>
      <c r="I36" s="907"/>
    </row>
    <row r="37" spans="1:9" x14ac:dyDescent="0.2">
      <c r="A37" s="775"/>
      <c r="B37" s="776"/>
      <c r="C37" s="776"/>
      <c r="D37" s="776"/>
      <c r="E37" s="776"/>
      <c r="F37" s="776"/>
      <c r="G37" s="776"/>
      <c r="H37" s="906"/>
      <c r="I37" s="907"/>
    </row>
    <row r="38" spans="1:9" x14ac:dyDescent="0.2">
      <c r="A38" s="73"/>
      <c r="B38" s="752" t="s">
        <v>555</v>
      </c>
      <c r="C38" s="781"/>
      <c r="D38" s="781"/>
      <c r="E38" s="781"/>
      <c r="F38" s="785"/>
      <c r="G38" s="786"/>
      <c r="H38" s="910"/>
      <c r="I38" s="911"/>
    </row>
    <row r="39" spans="1:9" x14ac:dyDescent="0.2">
      <c r="A39" s="678" t="s">
        <v>556</v>
      </c>
      <c r="B39" s="793"/>
      <c r="C39" s="793"/>
      <c r="D39" s="793"/>
      <c r="E39" s="793"/>
      <c r="F39" s="793"/>
      <c r="G39" s="793"/>
      <c r="H39" s="433"/>
      <c r="I39" s="443"/>
    </row>
    <row r="40" spans="1:9" x14ac:dyDescent="0.2">
      <c r="A40" s="68" t="s">
        <v>557</v>
      </c>
      <c r="B40" s="678" t="s">
        <v>558</v>
      </c>
      <c r="C40" s="793"/>
      <c r="D40" s="793"/>
      <c r="E40" s="793"/>
      <c r="F40" s="818"/>
      <c r="G40" s="311" t="s">
        <v>331</v>
      </c>
      <c r="H40" s="433"/>
      <c r="I40" s="401" t="s">
        <v>331</v>
      </c>
    </row>
    <row r="41" spans="1:9" x14ac:dyDescent="0.2">
      <c r="A41" s="68" t="s">
        <v>316</v>
      </c>
      <c r="B41" s="804" t="s">
        <v>559</v>
      </c>
      <c r="C41" s="679"/>
      <c r="D41" s="679"/>
      <c r="E41" s="680"/>
      <c r="F41" s="288">
        <v>8.3299999999999999E-2</v>
      </c>
      <c r="G41" s="319">
        <f>F41*G35</f>
        <v>49.770896174999997</v>
      </c>
      <c r="H41" s="434">
        <v>8.3299999999999999E-2</v>
      </c>
      <c r="I41" s="404">
        <f>H41*I35</f>
        <v>53.752448749999999</v>
      </c>
    </row>
    <row r="42" spans="1:9" x14ac:dyDescent="0.2">
      <c r="A42" s="68" t="s">
        <v>318</v>
      </c>
      <c r="B42" s="804" t="s">
        <v>607</v>
      </c>
      <c r="C42" s="679"/>
      <c r="D42" s="679"/>
      <c r="E42" s="680"/>
      <c r="F42" s="288">
        <f>8.33%+(8.33%*1/3)</f>
        <v>0.11106666666666666</v>
      </c>
      <c r="G42" s="319">
        <f>F42*G35</f>
        <v>66.361194899999987</v>
      </c>
      <c r="H42" s="434">
        <f>8.33%+(8.33%*1/3)</f>
        <v>0.11106666666666666</v>
      </c>
      <c r="I42" s="404">
        <f>H42*I35</f>
        <v>71.66993166666667</v>
      </c>
    </row>
    <row r="43" spans="1:9" x14ac:dyDescent="0.2">
      <c r="A43" s="73"/>
      <c r="B43" s="752" t="s">
        <v>352</v>
      </c>
      <c r="C43" s="781"/>
      <c r="D43" s="781"/>
      <c r="E43" s="788"/>
      <c r="F43" s="289">
        <f>SUM(F41:F42)</f>
        <v>0.19436666666666666</v>
      </c>
      <c r="G43" s="317">
        <f>SUM(G41:G42)</f>
        <v>116.13209107499998</v>
      </c>
      <c r="H43" s="438">
        <f>SUM(H41:H42)</f>
        <v>0.19436666666666666</v>
      </c>
      <c r="I43" s="403">
        <f>SUM(I41:I42)</f>
        <v>125.42238041666667</v>
      </c>
    </row>
    <row r="44" spans="1:9" ht="21" customHeight="1" x14ac:dyDescent="0.2">
      <c r="A44" s="789" t="s">
        <v>1084</v>
      </c>
      <c r="B44" s="790"/>
      <c r="C44" s="790"/>
      <c r="D44" s="790"/>
      <c r="E44" s="790"/>
      <c r="F44" s="790"/>
      <c r="G44" s="790"/>
      <c r="H44" s="906"/>
      <c r="I44" s="907"/>
    </row>
    <row r="45" spans="1:9" ht="16.5" customHeight="1" x14ac:dyDescent="0.2">
      <c r="A45" s="789" t="s">
        <v>1085</v>
      </c>
      <c r="B45" s="790"/>
      <c r="C45" s="790"/>
      <c r="D45" s="790"/>
      <c r="E45" s="790"/>
      <c r="F45" s="790"/>
      <c r="G45" s="790"/>
      <c r="H45" s="906"/>
      <c r="I45" s="907"/>
    </row>
    <row r="46" spans="1:9" ht="22.5" customHeight="1" x14ac:dyDescent="0.2">
      <c r="A46" s="821" t="s">
        <v>1086</v>
      </c>
      <c r="B46" s="821"/>
      <c r="C46" s="821"/>
      <c r="D46" s="821"/>
      <c r="E46" s="821"/>
      <c r="F46" s="821"/>
      <c r="G46" s="821"/>
      <c r="H46" s="906"/>
      <c r="I46" s="907"/>
    </row>
    <row r="47" spans="1:9" x14ac:dyDescent="0.2">
      <c r="A47" s="76"/>
      <c r="B47" s="77"/>
      <c r="C47" s="77"/>
      <c r="D47" s="77"/>
      <c r="E47" s="77"/>
      <c r="F47" s="290"/>
      <c r="G47" s="307"/>
      <c r="H47" s="906"/>
      <c r="I47" s="907"/>
    </row>
    <row r="48" spans="1:9" x14ac:dyDescent="0.2">
      <c r="A48" s="678" t="s">
        <v>560</v>
      </c>
      <c r="B48" s="793"/>
      <c r="C48" s="793"/>
      <c r="D48" s="793"/>
      <c r="E48" s="793"/>
      <c r="F48" s="793"/>
      <c r="G48" s="793"/>
      <c r="H48" s="906"/>
      <c r="I48" s="907"/>
    </row>
    <row r="49" spans="1:10" ht="24" x14ac:dyDescent="0.2">
      <c r="A49" s="68" t="s">
        <v>561</v>
      </c>
      <c r="B49" s="791" t="s">
        <v>562</v>
      </c>
      <c r="C49" s="776"/>
      <c r="D49" s="776"/>
      <c r="E49" s="893"/>
      <c r="F49" s="288" t="s">
        <v>563</v>
      </c>
      <c r="G49" s="311" t="s">
        <v>331</v>
      </c>
      <c r="H49" s="434" t="s">
        <v>563</v>
      </c>
      <c r="I49" s="401" t="s">
        <v>331</v>
      </c>
    </row>
    <row r="50" spans="1:10" x14ac:dyDescent="0.2">
      <c r="A50" s="68" t="s">
        <v>316</v>
      </c>
      <c r="B50" s="804" t="s">
        <v>342</v>
      </c>
      <c r="C50" s="679"/>
      <c r="D50" s="679"/>
      <c r="E50" s="680"/>
      <c r="F50" s="291"/>
      <c r="G50" s="321">
        <f>F50*(G35+G43+G117)</f>
        <v>0</v>
      </c>
      <c r="H50" s="434"/>
      <c r="I50" s="409">
        <f>H50*(I35+I43+I117)</f>
        <v>0</v>
      </c>
    </row>
    <row r="51" spans="1:10" x14ac:dyDescent="0.2">
      <c r="A51" s="68" t="s">
        <v>318</v>
      </c>
      <c r="B51" s="804" t="s">
        <v>564</v>
      </c>
      <c r="C51" s="679"/>
      <c r="D51" s="679"/>
      <c r="E51" s="680"/>
      <c r="F51" s="291">
        <v>2.5000000000000001E-2</v>
      </c>
      <c r="G51" s="321">
        <f>F51*(G35+G43+G117)</f>
        <v>18.314886500624997</v>
      </c>
      <c r="H51" s="434">
        <v>2.5000000000000001E-2</v>
      </c>
      <c r="I51" s="409">
        <f>H51*(I35+I43+I117)</f>
        <v>19.780033586805558</v>
      </c>
    </row>
    <row r="52" spans="1:10" x14ac:dyDescent="0.2">
      <c r="A52" s="68" t="s">
        <v>321</v>
      </c>
      <c r="B52" s="804" t="s">
        <v>565</v>
      </c>
      <c r="C52" s="679"/>
      <c r="D52" s="679"/>
      <c r="E52" s="680"/>
      <c r="F52" s="1090">
        <v>2.7900000000000001E-2</v>
      </c>
      <c r="G52" s="321">
        <f>F52*(G35+G43+G117)</f>
        <v>20.439413334697498</v>
      </c>
      <c r="H52" s="196">
        <v>2.76E-2</v>
      </c>
      <c r="I52" s="506">
        <f>H52*(I35+I43+I117)</f>
        <v>21.837157079833332</v>
      </c>
      <c r="J52" s="504"/>
    </row>
    <row r="53" spans="1:10" x14ac:dyDescent="0.2">
      <c r="A53" s="68" t="s">
        <v>322</v>
      </c>
      <c r="B53" s="804" t="s">
        <v>566</v>
      </c>
      <c r="C53" s="679"/>
      <c r="D53" s="679"/>
      <c r="E53" s="680"/>
      <c r="F53" s="291">
        <v>1.4999999999999999E-2</v>
      </c>
      <c r="G53" s="321">
        <f>F53*(G35+G43+G117)</f>
        <v>10.988931900374997</v>
      </c>
      <c r="H53" s="434">
        <v>1.4999999999999999E-2</v>
      </c>
      <c r="I53" s="409">
        <f>H53*(I35+I43+I117)</f>
        <v>11.868020152083332</v>
      </c>
    </row>
    <row r="54" spans="1:10" x14ac:dyDescent="0.2">
      <c r="A54" s="68" t="s">
        <v>333</v>
      </c>
      <c r="B54" s="804" t="s">
        <v>343</v>
      </c>
      <c r="C54" s="679"/>
      <c r="D54" s="679"/>
      <c r="E54" s="680"/>
      <c r="F54" s="291">
        <v>0.01</v>
      </c>
      <c r="G54" s="321">
        <f>F54*(G35+G43+G117)</f>
        <v>7.3259546002499984</v>
      </c>
      <c r="H54" s="434">
        <v>0.01</v>
      </c>
      <c r="I54" s="409">
        <f>H54*(I35+I43+I117)</f>
        <v>7.9120134347222226</v>
      </c>
    </row>
    <row r="55" spans="1:10" x14ac:dyDescent="0.2">
      <c r="A55" s="68" t="s">
        <v>334</v>
      </c>
      <c r="B55" s="804" t="s">
        <v>346</v>
      </c>
      <c r="C55" s="679"/>
      <c r="D55" s="679"/>
      <c r="E55" s="680"/>
      <c r="F55" s="291">
        <v>6.0000000000000001E-3</v>
      </c>
      <c r="G55" s="321">
        <f>F55*(G35+G43+G117)</f>
        <v>4.3955727601499994</v>
      </c>
      <c r="H55" s="434">
        <v>6.0000000000000001E-3</v>
      </c>
      <c r="I55" s="409">
        <f>H55*(I35+I43+I117)</f>
        <v>4.7472080608333336</v>
      </c>
    </row>
    <row r="56" spans="1:10" x14ac:dyDescent="0.2">
      <c r="A56" s="68" t="s">
        <v>335</v>
      </c>
      <c r="B56" s="804" t="s">
        <v>344</v>
      </c>
      <c r="C56" s="679"/>
      <c r="D56" s="679"/>
      <c r="E56" s="680"/>
      <c r="F56" s="291">
        <v>2E-3</v>
      </c>
      <c r="G56" s="321">
        <f>F56*(G35+G43+G117)</f>
        <v>1.4651909200499997</v>
      </c>
      <c r="H56" s="434">
        <v>2E-3</v>
      </c>
      <c r="I56" s="409">
        <f>H56*(I35+I43+I117)</f>
        <v>1.5824026869444445</v>
      </c>
    </row>
    <row r="57" spans="1:10" x14ac:dyDescent="0.2">
      <c r="A57" s="68" t="s">
        <v>336</v>
      </c>
      <c r="B57" s="804" t="s">
        <v>345</v>
      </c>
      <c r="C57" s="679"/>
      <c r="D57" s="679"/>
      <c r="E57" s="680"/>
      <c r="F57" s="291">
        <v>0.08</v>
      </c>
      <c r="G57" s="321">
        <f>F57*(G35+G43+G117)</f>
        <v>58.607636801999988</v>
      </c>
      <c r="H57" s="434">
        <v>0.08</v>
      </c>
      <c r="I57" s="409">
        <f>H57*(I35+I43+I117)</f>
        <v>63.296107477777781</v>
      </c>
    </row>
    <row r="58" spans="1:10" x14ac:dyDescent="0.2">
      <c r="A58" s="73"/>
      <c r="B58" s="752" t="s">
        <v>352</v>
      </c>
      <c r="C58" s="781"/>
      <c r="D58" s="781"/>
      <c r="E58" s="788"/>
      <c r="F58" s="289">
        <f>SUM(F50:F57)</f>
        <v>0.16589999999999999</v>
      </c>
      <c r="G58" s="322">
        <f>SUM(G50:G57)</f>
        <v>121.53758681814747</v>
      </c>
      <c r="H58" s="438">
        <f>SUM(H50:H57)</f>
        <v>0.1656</v>
      </c>
      <c r="I58" s="410">
        <f>SUM(I50:I57)</f>
        <v>131.02294247899999</v>
      </c>
    </row>
    <row r="59" spans="1:10" ht="15" customHeight="1" x14ac:dyDescent="0.2">
      <c r="A59" s="789" t="s">
        <v>1103</v>
      </c>
      <c r="B59" s="790"/>
      <c r="C59" s="790"/>
      <c r="D59" s="790"/>
      <c r="E59" s="790"/>
      <c r="F59" s="790"/>
      <c r="G59" s="790"/>
      <c r="H59" s="906"/>
      <c r="I59" s="907"/>
    </row>
    <row r="60" spans="1:10" x14ac:dyDescent="0.2">
      <c r="A60" s="789" t="s">
        <v>1104</v>
      </c>
      <c r="B60" s="790"/>
      <c r="C60" s="790"/>
      <c r="D60" s="790"/>
      <c r="E60" s="790"/>
      <c r="F60" s="790"/>
      <c r="G60" s="790"/>
      <c r="H60" s="906"/>
      <c r="I60" s="907"/>
    </row>
    <row r="61" spans="1:10" x14ac:dyDescent="0.2">
      <c r="A61" s="875" t="s">
        <v>936</v>
      </c>
      <c r="B61" s="876"/>
      <c r="C61" s="876"/>
      <c r="D61" s="876"/>
      <c r="E61" s="876"/>
      <c r="F61" s="876"/>
      <c r="G61" s="876"/>
      <c r="H61" s="906"/>
      <c r="I61" s="907"/>
    </row>
    <row r="62" spans="1:10" x14ac:dyDescent="0.2">
      <c r="A62" s="78"/>
      <c r="B62" s="79"/>
      <c r="C62" s="77"/>
      <c r="D62" s="77"/>
      <c r="E62" s="77"/>
      <c r="F62" s="291"/>
      <c r="G62" s="312"/>
      <c r="H62" s="906"/>
      <c r="I62" s="907"/>
    </row>
    <row r="63" spans="1:10" x14ac:dyDescent="0.2">
      <c r="A63" s="678" t="s">
        <v>567</v>
      </c>
      <c r="B63" s="793"/>
      <c r="C63" s="793"/>
      <c r="D63" s="793"/>
      <c r="E63" s="793"/>
      <c r="F63" s="793"/>
      <c r="G63" s="793"/>
      <c r="H63" s="906"/>
      <c r="I63" s="907"/>
    </row>
    <row r="64" spans="1:10" x14ac:dyDescent="0.2">
      <c r="A64" s="68" t="s">
        <v>568</v>
      </c>
      <c r="B64" s="820" t="s">
        <v>569</v>
      </c>
      <c r="C64" s="820"/>
      <c r="D64" s="820"/>
      <c r="E64" s="820"/>
      <c r="F64" s="820"/>
      <c r="G64" s="311" t="s">
        <v>331</v>
      </c>
      <c r="H64" s="433"/>
      <c r="I64" s="401" t="s">
        <v>331</v>
      </c>
    </row>
    <row r="65" spans="1:9" ht="25.5" customHeight="1" x14ac:dyDescent="0.2">
      <c r="A65" s="68" t="s">
        <v>316</v>
      </c>
      <c r="B65" s="804" t="s">
        <v>1105</v>
      </c>
      <c r="C65" s="679"/>
      <c r="D65" s="679"/>
      <c r="E65" s="679"/>
      <c r="F65" s="680"/>
      <c r="G65" s="319">
        <f>((5+2.5)*2*21.5)*25%-(6%*G29)</f>
        <v>53.048549999999999</v>
      </c>
      <c r="H65" s="433"/>
      <c r="I65" s="404">
        <f>((5+2.5)*2*21.5)*25%-(6%*I29)</f>
        <v>50.842500000000001</v>
      </c>
    </row>
    <row r="66" spans="1:9" ht="24.75" customHeight="1" x14ac:dyDescent="0.2">
      <c r="A66" s="68" t="s">
        <v>318</v>
      </c>
      <c r="B66" s="804" t="s">
        <v>1106</v>
      </c>
      <c r="C66" s="679"/>
      <c r="D66" s="679"/>
      <c r="E66" s="679"/>
      <c r="F66" s="680"/>
      <c r="G66" s="319">
        <f>31.5*21.5*25%</f>
        <v>169.3125</v>
      </c>
      <c r="H66" s="433"/>
      <c r="I66" s="404">
        <f>33*21.5*25%</f>
        <v>177.375</v>
      </c>
    </row>
    <row r="67" spans="1:9" x14ac:dyDescent="0.2">
      <c r="A67" s="68" t="s">
        <v>321</v>
      </c>
      <c r="B67" s="804" t="s">
        <v>963</v>
      </c>
      <c r="C67" s="679"/>
      <c r="D67" s="679"/>
      <c r="E67" s="679"/>
      <c r="F67" s="680"/>
      <c r="G67" s="319">
        <v>0</v>
      </c>
      <c r="H67" s="433"/>
      <c r="I67" s="404">
        <v>0</v>
      </c>
    </row>
    <row r="68" spans="1:9" x14ac:dyDescent="0.2">
      <c r="A68" s="68" t="s">
        <v>322</v>
      </c>
      <c r="B68" s="678" t="s">
        <v>930</v>
      </c>
      <c r="C68" s="679"/>
      <c r="D68" s="679"/>
      <c r="E68" s="679"/>
      <c r="F68" s="680"/>
      <c r="G68" s="319">
        <v>0</v>
      </c>
      <c r="H68" s="433"/>
      <c r="I68" s="404">
        <v>0</v>
      </c>
    </row>
    <row r="69" spans="1:9" x14ac:dyDescent="0.2">
      <c r="A69" s="68" t="s">
        <v>333</v>
      </c>
      <c r="B69" s="678" t="s">
        <v>933</v>
      </c>
      <c r="C69" s="793"/>
      <c r="D69" s="793"/>
      <c r="E69" s="793"/>
      <c r="F69" s="818"/>
      <c r="G69" s="319"/>
      <c r="H69" s="433"/>
      <c r="I69" s="404"/>
    </row>
    <row r="70" spans="1:9" x14ac:dyDescent="0.2">
      <c r="A70" s="68" t="s">
        <v>334</v>
      </c>
      <c r="B70" s="678" t="s">
        <v>932</v>
      </c>
      <c r="C70" s="679"/>
      <c r="D70" s="679"/>
      <c r="E70" s="679"/>
      <c r="F70" s="680"/>
      <c r="G70" s="319">
        <v>0</v>
      </c>
      <c r="H70" s="433"/>
      <c r="I70" s="404">
        <v>10.65</v>
      </c>
    </row>
    <row r="71" spans="1:9" x14ac:dyDescent="0.2">
      <c r="A71" s="68" t="s">
        <v>335</v>
      </c>
      <c r="B71" s="678" t="s">
        <v>931</v>
      </c>
      <c r="C71" s="679"/>
      <c r="D71" s="679"/>
      <c r="E71" s="679"/>
      <c r="F71" s="680"/>
      <c r="G71" s="319">
        <v>0</v>
      </c>
      <c r="H71" s="433"/>
      <c r="I71" s="404">
        <v>0</v>
      </c>
    </row>
    <row r="72" spans="1:9" x14ac:dyDescent="0.2">
      <c r="A72" s="71"/>
      <c r="B72" s="752" t="s">
        <v>352</v>
      </c>
      <c r="C72" s="781"/>
      <c r="D72" s="781"/>
      <c r="E72" s="781"/>
      <c r="F72" s="788"/>
      <c r="G72" s="317">
        <f>SUM(G65:G70)</f>
        <v>222.36105000000001</v>
      </c>
      <c r="H72" s="440"/>
      <c r="I72" s="403">
        <f>SUM(I65:I70)</f>
        <v>238.86750000000001</v>
      </c>
    </row>
    <row r="73" spans="1:9" ht="12.75" customHeight="1" x14ac:dyDescent="0.2">
      <c r="A73" s="845" t="s">
        <v>1041</v>
      </c>
      <c r="B73" s="846"/>
      <c r="C73" s="846"/>
      <c r="D73" s="846"/>
      <c r="E73" s="846"/>
      <c r="F73" s="846"/>
      <c r="G73" s="846"/>
      <c r="H73" s="906"/>
      <c r="I73" s="907"/>
    </row>
    <row r="74" spans="1:9" ht="13.5" customHeight="1" x14ac:dyDescent="0.2">
      <c r="A74" s="845" t="s">
        <v>1034</v>
      </c>
      <c r="B74" s="846"/>
      <c r="C74" s="846"/>
      <c r="D74" s="846"/>
      <c r="E74" s="846"/>
      <c r="F74" s="846"/>
      <c r="G74" s="846"/>
      <c r="H74" s="906"/>
      <c r="I74" s="907"/>
    </row>
    <row r="75" spans="1:9" x14ac:dyDescent="0.2">
      <c r="A75" s="76"/>
      <c r="B75" s="77"/>
      <c r="C75" s="77"/>
      <c r="D75" s="77"/>
      <c r="E75" s="77"/>
      <c r="F75" s="290"/>
      <c r="G75" s="307"/>
      <c r="H75" s="906"/>
      <c r="I75" s="907"/>
    </row>
    <row r="76" spans="1:9" x14ac:dyDescent="0.2">
      <c r="A76" s="752" t="s">
        <v>892</v>
      </c>
      <c r="B76" s="781"/>
      <c r="C76" s="781"/>
      <c r="D76" s="781"/>
      <c r="E76" s="781"/>
      <c r="F76" s="781"/>
      <c r="G76" s="781"/>
      <c r="H76" s="906"/>
      <c r="I76" s="907"/>
    </row>
    <row r="77" spans="1:9" x14ac:dyDescent="0.2">
      <c r="A77" s="68">
        <v>2</v>
      </c>
      <c r="B77" s="820" t="s">
        <v>571</v>
      </c>
      <c r="C77" s="820"/>
      <c r="D77" s="820"/>
      <c r="E77" s="820"/>
      <c r="F77" s="820"/>
      <c r="G77" s="311" t="s">
        <v>331</v>
      </c>
      <c r="H77" s="433"/>
      <c r="I77" s="401" t="s">
        <v>331</v>
      </c>
    </row>
    <row r="78" spans="1:9" x14ac:dyDescent="0.2">
      <c r="A78" s="68" t="s">
        <v>557</v>
      </c>
      <c r="B78" s="819" t="s">
        <v>572</v>
      </c>
      <c r="C78" s="819"/>
      <c r="D78" s="819"/>
      <c r="E78" s="819"/>
      <c r="F78" s="819"/>
      <c r="G78" s="319">
        <f>G43</f>
        <v>116.13209107499998</v>
      </c>
      <c r="H78" s="433"/>
      <c r="I78" s="404">
        <f>I43</f>
        <v>125.42238041666667</v>
      </c>
    </row>
    <row r="79" spans="1:9" x14ac:dyDescent="0.2">
      <c r="A79" s="68" t="s">
        <v>561</v>
      </c>
      <c r="B79" s="819" t="s">
        <v>562</v>
      </c>
      <c r="C79" s="819"/>
      <c r="D79" s="819"/>
      <c r="E79" s="819"/>
      <c r="F79" s="819"/>
      <c r="G79" s="319">
        <f>G58</f>
        <v>121.53758681814747</v>
      </c>
      <c r="H79" s="433"/>
      <c r="I79" s="404">
        <f>I58</f>
        <v>131.02294247899999</v>
      </c>
    </row>
    <row r="80" spans="1:9" x14ac:dyDescent="0.2">
      <c r="A80" s="68" t="s">
        <v>568</v>
      </c>
      <c r="B80" s="819" t="s">
        <v>569</v>
      </c>
      <c r="C80" s="819"/>
      <c r="D80" s="819"/>
      <c r="E80" s="819"/>
      <c r="F80" s="819"/>
      <c r="G80" s="319">
        <f>G72</f>
        <v>222.36105000000001</v>
      </c>
      <c r="H80" s="433"/>
      <c r="I80" s="404">
        <f>I72</f>
        <v>238.86750000000001</v>
      </c>
    </row>
    <row r="81" spans="1:9" x14ac:dyDescent="0.2">
      <c r="A81" s="134"/>
      <c r="B81" s="756" t="s">
        <v>352</v>
      </c>
      <c r="C81" s="840"/>
      <c r="D81" s="840"/>
      <c r="E81" s="840"/>
      <c r="F81" s="841"/>
      <c r="G81" s="317">
        <f>SUM(G78:G80)</f>
        <v>460.03072789314746</v>
      </c>
      <c r="H81" s="440"/>
      <c r="I81" s="403">
        <f>SUM(I78:I80)</f>
        <v>495.31282289566667</v>
      </c>
    </row>
    <row r="82" spans="1:9" x14ac:dyDescent="0.2">
      <c r="A82" s="838"/>
      <c r="B82" s="839"/>
      <c r="C82" s="839"/>
      <c r="D82" s="839"/>
      <c r="E82" s="839"/>
      <c r="F82" s="839"/>
      <c r="G82" s="839"/>
      <c r="H82" s="906"/>
      <c r="I82" s="907"/>
    </row>
    <row r="83" spans="1:9" x14ac:dyDescent="0.2">
      <c r="A83" s="132"/>
      <c r="B83" s="752" t="s">
        <v>885</v>
      </c>
      <c r="C83" s="781"/>
      <c r="D83" s="781"/>
      <c r="E83" s="788"/>
      <c r="F83" s="283"/>
      <c r="G83" s="320"/>
      <c r="H83" s="910"/>
      <c r="I83" s="911"/>
    </row>
    <row r="84" spans="1:9" ht="24" x14ac:dyDescent="0.2">
      <c r="A84" s="68">
        <v>3</v>
      </c>
      <c r="B84" s="791" t="s">
        <v>348</v>
      </c>
      <c r="C84" s="792"/>
      <c r="D84" s="792"/>
      <c r="E84" s="809"/>
      <c r="F84" s="288" t="s">
        <v>563</v>
      </c>
      <c r="G84" s="311" t="s">
        <v>331</v>
      </c>
      <c r="H84" s="434" t="s">
        <v>563</v>
      </c>
      <c r="I84" s="401" t="s">
        <v>331</v>
      </c>
    </row>
    <row r="85" spans="1:9" x14ac:dyDescent="0.2">
      <c r="A85" s="78" t="s">
        <v>316</v>
      </c>
      <c r="B85" s="804" t="s">
        <v>990</v>
      </c>
      <c r="C85" s="679"/>
      <c r="D85" s="679"/>
      <c r="E85" s="680"/>
      <c r="F85" s="292">
        <v>4.1700000000000001E-3</v>
      </c>
      <c r="G85" s="319">
        <f>F85*(G35+G43)</f>
        <v>2.9758030772827495</v>
      </c>
      <c r="H85" s="441">
        <v>4.1700000000000001E-3</v>
      </c>
      <c r="I85" s="404">
        <f>H85*(I35+I43)</f>
        <v>3.2138602013375004</v>
      </c>
    </row>
    <row r="86" spans="1:9" x14ac:dyDescent="0.2">
      <c r="A86" s="78" t="s">
        <v>318</v>
      </c>
      <c r="B86" s="804" t="s">
        <v>966</v>
      </c>
      <c r="C86" s="679"/>
      <c r="D86" s="679"/>
      <c r="E86" s="680"/>
      <c r="F86" s="292">
        <f>F57*F85</f>
        <v>3.3360000000000003E-4</v>
      </c>
      <c r="G86" s="319">
        <f>F86*(G35+G43)</f>
        <v>0.23806424618261998</v>
      </c>
      <c r="H86" s="441">
        <f>H57*H85</f>
        <v>3.3360000000000003E-4</v>
      </c>
      <c r="I86" s="404">
        <f>H86*(I35+I43)</f>
        <v>0.25710881610700004</v>
      </c>
    </row>
    <row r="87" spans="1:9" ht="36" customHeight="1" x14ac:dyDescent="0.2">
      <c r="A87" s="68" t="s">
        <v>321</v>
      </c>
      <c r="B87" s="804" t="s">
        <v>1108</v>
      </c>
      <c r="C87" s="679"/>
      <c r="D87" s="679"/>
      <c r="E87" s="680"/>
      <c r="F87" s="292">
        <f xml:space="preserve"> (40%+10%)*F85</f>
        <v>2.085E-3</v>
      </c>
      <c r="G87" s="319">
        <f>F87*(G35+G43)</f>
        <v>1.4879015386413748</v>
      </c>
      <c r="H87" s="441">
        <f xml:space="preserve"> (40%+10%)*H85</f>
        <v>2.085E-3</v>
      </c>
      <c r="I87" s="404">
        <f>H87*(I35+I43)</f>
        <v>1.6069301006687502</v>
      </c>
    </row>
    <row r="88" spans="1:9" ht="25.5" customHeight="1" x14ac:dyDescent="0.2">
      <c r="A88" s="68" t="s">
        <v>322</v>
      </c>
      <c r="B88" s="804" t="s">
        <v>1071</v>
      </c>
      <c r="C88" s="679"/>
      <c r="D88" s="679"/>
      <c r="E88" s="680"/>
      <c r="F88" s="292">
        <f>(7/30)/12</f>
        <v>1.9444444444444445E-2</v>
      </c>
      <c r="G88" s="319">
        <f>F88*(G35+G43)</f>
        <v>13.875980243124998</v>
      </c>
      <c r="H88" s="441">
        <f>(7/30)/12</f>
        <v>1.9444444444444445E-2</v>
      </c>
      <c r="I88" s="404">
        <f>H88*(I35+I43)</f>
        <v>14.986025452546297</v>
      </c>
    </row>
    <row r="89" spans="1:9" x14ac:dyDescent="0.2">
      <c r="A89" s="69" t="s">
        <v>333</v>
      </c>
      <c r="B89" s="804" t="s">
        <v>978</v>
      </c>
      <c r="C89" s="679"/>
      <c r="D89" s="679"/>
      <c r="E89" s="680"/>
      <c r="F89" s="292">
        <f>F58*F88</f>
        <v>3.2258333333333332E-3</v>
      </c>
      <c r="G89" s="319">
        <f>F89*($G$35+$G$43)</f>
        <v>2.3020251223344372</v>
      </c>
      <c r="H89" s="441">
        <f>H58*H88</f>
        <v>3.2200000000000002E-3</v>
      </c>
      <c r="I89" s="404">
        <f>H89*($I$35+$I$43)</f>
        <v>2.4816858149416667</v>
      </c>
    </row>
    <row r="90" spans="1:9" x14ac:dyDescent="0.2">
      <c r="A90" s="68" t="s">
        <v>334</v>
      </c>
      <c r="B90" s="804" t="s">
        <v>979</v>
      </c>
      <c r="C90" s="679"/>
      <c r="D90" s="679"/>
      <c r="E90" s="680"/>
      <c r="F90" s="288">
        <f>50%*F88</f>
        <v>9.7222222222222224E-3</v>
      </c>
      <c r="G90" s="319">
        <f>F90*($G$35+$G$43)</f>
        <v>6.9379901215624988</v>
      </c>
      <c r="H90" s="434">
        <f>50%*H88</f>
        <v>9.7222222222222224E-3</v>
      </c>
      <c r="I90" s="404">
        <f>H90*($I$35+$I$43)</f>
        <v>7.4930127262731485</v>
      </c>
    </row>
    <row r="91" spans="1:9" x14ac:dyDescent="0.2">
      <c r="A91" s="73"/>
      <c r="B91" s="752" t="s">
        <v>352</v>
      </c>
      <c r="C91" s="781"/>
      <c r="D91" s="781"/>
      <c r="E91" s="788"/>
      <c r="F91" s="289">
        <f>SUM(F85:F90)</f>
        <v>3.8981100000000005E-2</v>
      </c>
      <c r="G91" s="317">
        <f>SUM(G85:G90)</f>
        <v>27.81776434912868</v>
      </c>
      <c r="H91" s="438">
        <f>SUM(H85:H90)</f>
        <v>3.8975266666666668E-2</v>
      </c>
      <c r="I91" s="403">
        <f>SUM(I85:I90)</f>
        <v>30.038623111874365</v>
      </c>
    </row>
    <row r="92" spans="1:9" x14ac:dyDescent="0.2">
      <c r="A92" s="83"/>
      <c r="B92" s="84"/>
      <c r="C92" s="84"/>
      <c r="D92" s="84"/>
      <c r="E92" s="84"/>
      <c r="F92" s="293"/>
      <c r="G92" s="315"/>
      <c r="H92" s="447"/>
      <c r="I92" s="412"/>
    </row>
    <row r="93" spans="1:9" x14ac:dyDescent="0.2">
      <c r="A93" s="73"/>
      <c r="B93" s="752" t="s">
        <v>886</v>
      </c>
      <c r="C93" s="781"/>
      <c r="D93" s="781"/>
      <c r="E93" s="781"/>
      <c r="F93" s="283"/>
      <c r="G93" s="320"/>
      <c r="H93" s="910"/>
      <c r="I93" s="911"/>
    </row>
    <row r="94" spans="1:9" ht="22.5" customHeight="1" x14ac:dyDescent="0.2">
      <c r="A94" s="808" t="s">
        <v>1107</v>
      </c>
      <c r="B94" s="790"/>
      <c r="C94" s="790"/>
      <c r="D94" s="790"/>
      <c r="E94" s="790"/>
      <c r="F94" s="790"/>
      <c r="G94" s="790"/>
      <c r="H94" s="906"/>
      <c r="I94" s="907"/>
    </row>
    <row r="95" spans="1:9" x14ac:dyDescent="0.2">
      <c r="A95" s="775"/>
      <c r="B95" s="776"/>
      <c r="C95" s="776"/>
      <c r="D95" s="776"/>
      <c r="E95" s="776"/>
      <c r="F95" s="776"/>
      <c r="G95" s="776"/>
      <c r="H95" s="906"/>
      <c r="I95" s="907"/>
    </row>
    <row r="96" spans="1:9" x14ac:dyDescent="0.2">
      <c r="A96" s="678" t="s">
        <v>902</v>
      </c>
      <c r="B96" s="793"/>
      <c r="C96" s="793"/>
      <c r="D96" s="793"/>
      <c r="E96" s="793"/>
      <c r="F96" s="793"/>
      <c r="G96" s="793"/>
      <c r="H96" s="906"/>
      <c r="I96" s="907"/>
    </row>
    <row r="97" spans="1:9" ht="24" x14ac:dyDescent="0.2">
      <c r="A97" s="78" t="s">
        <v>340</v>
      </c>
      <c r="B97" s="791" t="s">
        <v>908</v>
      </c>
      <c r="C97" s="792"/>
      <c r="D97" s="792"/>
      <c r="E97" s="792"/>
      <c r="F97" s="288" t="s">
        <v>563</v>
      </c>
      <c r="G97" s="311" t="s">
        <v>331</v>
      </c>
      <c r="H97" s="434" t="s">
        <v>563</v>
      </c>
      <c r="I97" s="401" t="s">
        <v>331</v>
      </c>
    </row>
    <row r="98" spans="1:9" x14ac:dyDescent="0.2">
      <c r="A98" s="68" t="s">
        <v>316</v>
      </c>
      <c r="B98" s="804" t="s">
        <v>904</v>
      </c>
      <c r="C98" s="679"/>
      <c r="D98" s="679"/>
      <c r="E98" s="679"/>
      <c r="F98" s="288">
        <f>(8.33%+(8.33%*1/3))/12</f>
        <v>9.2555555555555551E-3</v>
      </c>
      <c r="G98" s="319">
        <f>F98*G35</f>
        <v>5.5300995749999995</v>
      </c>
      <c r="H98" s="434">
        <f>(8.33%+(8.33%*1/3))/12</f>
        <v>9.2555555555555551E-3</v>
      </c>
      <c r="I98" s="404">
        <f>H98*I35</f>
        <v>5.9724943055555553</v>
      </c>
    </row>
    <row r="99" spans="1:9" x14ac:dyDescent="0.2">
      <c r="A99" s="68" t="s">
        <v>318</v>
      </c>
      <c r="B99" s="804" t="s">
        <v>980</v>
      </c>
      <c r="C99" s="679"/>
      <c r="D99" s="679"/>
      <c r="E99" s="679"/>
      <c r="F99" s="288">
        <f>(1/12)/30</f>
        <v>2.7777777777777775E-3</v>
      </c>
      <c r="G99" s="319">
        <f>F99*G35</f>
        <v>1.6596937499999997</v>
      </c>
      <c r="H99" s="434">
        <f>(1/12)/30</f>
        <v>2.7777777777777775E-3</v>
      </c>
      <c r="I99" s="404">
        <f>H99*I35</f>
        <v>1.7924652777777776</v>
      </c>
    </row>
    <row r="100" spans="1:9" x14ac:dyDescent="0.2">
      <c r="A100" s="68" t="s">
        <v>321</v>
      </c>
      <c r="B100" s="804" t="s">
        <v>981</v>
      </c>
      <c r="C100" s="679"/>
      <c r="D100" s="679"/>
      <c r="E100" s="679"/>
      <c r="F100" s="294">
        <f>1.5%/12</f>
        <v>1.25E-3</v>
      </c>
      <c r="G100" s="319">
        <f>F100*G35</f>
        <v>0.7468621875</v>
      </c>
      <c r="H100" s="441">
        <f>1.5%/12</f>
        <v>1.25E-3</v>
      </c>
      <c r="I100" s="404">
        <f>H100*I35</f>
        <v>0.80660937500000007</v>
      </c>
    </row>
    <row r="101" spans="1:9" ht="26.25" customHeight="1" x14ac:dyDescent="0.2">
      <c r="A101" s="68" t="s">
        <v>322</v>
      </c>
      <c r="B101" s="804" t="s">
        <v>986</v>
      </c>
      <c r="C101" s="679"/>
      <c r="D101" s="679"/>
      <c r="E101" s="679"/>
      <c r="F101" s="292">
        <f>8%/12/2</f>
        <v>3.3333333333333335E-3</v>
      </c>
      <c r="G101" s="319">
        <f>F101*G35</f>
        <v>1.9916324999999999</v>
      </c>
      <c r="H101" s="441">
        <f>8%/12/2</f>
        <v>3.3333333333333335E-3</v>
      </c>
      <c r="I101" s="404">
        <f>H101*I35</f>
        <v>2.1509583333333335</v>
      </c>
    </row>
    <row r="102" spans="1:9" x14ac:dyDescent="0.2">
      <c r="A102" s="68" t="s">
        <v>333</v>
      </c>
      <c r="B102" s="804" t="s">
        <v>983</v>
      </c>
      <c r="C102" s="679"/>
      <c r="D102" s="679"/>
      <c r="E102" s="679"/>
      <c r="F102" s="295">
        <f>1.5%/12</f>
        <v>1.25E-3</v>
      </c>
      <c r="G102" s="319">
        <f>F102*G35</f>
        <v>0.7468621875</v>
      </c>
      <c r="H102" s="442">
        <f>1.5%/12</f>
        <v>1.25E-3</v>
      </c>
      <c r="I102" s="404">
        <f>H102*I35</f>
        <v>0.80660937500000007</v>
      </c>
    </row>
    <row r="103" spans="1:9" x14ac:dyDescent="0.2">
      <c r="A103" s="68" t="s">
        <v>334</v>
      </c>
      <c r="B103" s="804" t="s">
        <v>907</v>
      </c>
      <c r="C103" s="679"/>
      <c r="D103" s="679"/>
      <c r="E103" s="679"/>
      <c r="F103" s="288">
        <f>(5/12)/30</f>
        <v>1.388888888888889E-2</v>
      </c>
      <c r="G103" s="319">
        <f>F103*G35</f>
        <v>8.2984687499999996</v>
      </c>
      <c r="H103" s="434">
        <f>(5/12)/30</f>
        <v>1.388888888888889E-2</v>
      </c>
      <c r="I103" s="404">
        <f>H103*I35</f>
        <v>8.96232638888889</v>
      </c>
    </row>
    <row r="104" spans="1:9" x14ac:dyDescent="0.2">
      <c r="A104" s="73"/>
      <c r="B104" s="752" t="s">
        <v>352</v>
      </c>
      <c r="C104" s="781"/>
      <c r="D104" s="781"/>
      <c r="E104" s="788"/>
      <c r="F104" s="289">
        <f>SUM(F98:F103)</f>
        <v>3.1755555555555558E-2</v>
      </c>
      <c r="G104" s="317">
        <f>SUM(G98:G103)</f>
        <v>18.973618949999999</v>
      </c>
      <c r="H104" s="438">
        <f>SUM(H98:H103)</f>
        <v>3.1755555555555558E-2</v>
      </c>
      <c r="I104" s="403">
        <f>SUM(I98:I103)</f>
        <v>20.491463055555556</v>
      </c>
    </row>
    <row r="105" spans="1:9" ht="21" customHeight="1" x14ac:dyDescent="0.2">
      <c r="A105" s="789" t="s">
        <v>1109</v>
      </c>
      <c r="B105" s="790"/>
      <c r="C105" s="790"/>
      <c r="D105" s="790"/>
      <c r="E105" s="790"/>
      <c r="F105" s="790"/>
      <c r="G105" s="790"/>
      <c r="H105" s="906"/>
      <c r="I105" s="907"/>
    </row>
    <row r="106" spans="1:9" x14ac:dyDescent="0.2">
      <c r="A106" s="791"/>
      <c r="B106" s="792"/>
      <c r="C106" s="792"/>
      <c r="D106" s="792"/>
      <c r="E106" s="792"/>
      <c r="F106" s="792"/>
      <c r="G106" s="792"/>
      <c r="H106" s="906"/>
      <c r="I106" s="907"/>
    </row>
    <row r="107" spans="1:9" x14ac:dyDescent="0.2">
      <c r="A107" s="678" t="s">
        <v>911</v>
      </c>
      <c r="B107" s="793"/>
      <c r="C107" s="793"/>
      <c r="D107" s="793"/>
      <c r="E107" s="793"/>
      <c r="F107" s="793"/>
      <c r="G107" s="793"/>
      <c r="H107" s="906"/>
      <c r="I107" s="907"/>
    </row>
    <row r="108" spans="1:9" ht="24" x14ac:dyDescent="0.2">
      <c r="A108" s="68" t="s">
        <v>347</v>
      </c>
      <c r="B108" s="791" t="s">
        <v>912</v>
      </c>
      <c r="C108" s="792"/>
      <c r="D108" s="792"/>
      <c r="E108" s="809"/>
      <c r="F108" s="288" t="s">
        <v>563</v>
      </c>
      <c r="G108" s="311" t="s">
        <v>331</v>
      </c>
      <c r="H108" s="434" t="s">
        <v>563</v>
      </c>
      <c r="I108" s="401" t="s">
        <v>331</v>
      </c>
    </row>
    <row r="109" spans="1:9" x14ac:dyDescent="0.2">
      <c r="A109" s="68" t="s">
        <v>316</v>
      </c>
      <c r="B109" s="804" t="s">
        <v>913</v>
      </c>
      <c r="C109" s="679"/>
      <c r="D109" s="679"/>
      <c r="E109" s="680"/>
      <c r="F109" s="296"/>
      <c r="G109" s="319"/>
      <c r="H109" s="914"/>
      <c r="I109" s="915"/>
    </row>
    <row r="110" spans="1:9" x14ac:dyDescent="0.2">
      <c r="A110" s="73"/>
      <c r="B110" s="752" t="s">
        <v>352</v>
      </c>
      <c r="C110" s="781"/>
      <c r="D110" s="781"/>
      <c r="E110" s="788"/>
      <c r="F110" s="912"/>
      <c r="G110" s="913"/>
      <c r="H110" s="916"/>
      <c r="I110" s="917"/>
    </row>
    <row r="111" spans="1:9" ht="18" customHeight="1" x14ac:dyDescent="0.2">
      <c r="A111" s="789" t="s">
        <v>1110</v>
      </c>
      <c r="B111" s="790"/>
      <c r="C111" s="790"/>
      <c r="D111" s="790"/>
      <c r="E111" s="790"/>
      <c r="F111" s="790"/>
      <c r="G111" s="790"/>
      <c r="H111" s="906"/>
      <c r="I111" s="907"/>
    </row>
    <row r="112" spans="1:9" x14ac:dyDescent="0.2">
      <c r="A112" s="775"/>
      <c r="B112" s="776"/>
      <c r="C112" s="776"/>
      <c r="D112" s="776"/>
      <c r="E112" s="776"/>
      <c r="F112" s="776"/>
      <c r="G112" s="776"/>
      <c r="H112" s="906"/>
      <c r="I112" s="907"/>
    </row>
    <row r="113" spans="1:9" x14ac:dyDescent="0.2">
      <c r="A113" s="73"/>
      <c r="B113" s="752" t="s">
        <v>894</v>
      </c>
      <c r="C113" s="781"/>
      <c r="D113" s="781"/>
      <c r="E113" s="781"/>
      <c r="F113" s="785"/>
      <c r="G113" s="786"/>
      <c r="H113" s="910"/>
      <c r="I113" s="911"/>
    </row>
    <row r="114" spans="1:9" ht="24" x14ac:dyDescent="0.2">
      <c r="A114" s="68">
        <v>4</v>
      </c>
      <c r="B114" s="820" t="s">
        <v>574</v>
      </c>
      <c r="C114" s="820"/>
      <c r="D114" s="820"/>
      <c r="E114" s="820"/>
      <c r="F114" s="288" t="s">
        <v>563</v>
      </c>
      <c r="G114" s="311" t="s">
        <v>331</v>
      </c>
      <c r="H114" s="434" t="s">
        <v>563</v>
      </c>
      <c r="I114" s="401" t="s">
        <v>331</v>
      </c>
    </row>
    <row r="115" spans="1:9" x14ac:dyDescent="0.2">
      <c r="A115" s="68" t="s">
        <v>340</v>
      </c>
      <c r="B115" s="819" t="s">
        <v>908</v>
      </c>
      <c r="C115" s="819"/>
      <c r="D115" s="819"/>
      <c r="E115" s="819"/>
      <c r="F115" s="288">
        <f>F104</f>
        <v>3.1755555555555558E-2</v>
      </c>
      <c r="G115" s="321">
        <f>G104</f>
        <v>18.973618949999999</v>
      </c>
      <c r="H115" s="434">
        <f>H104</f>
        <v>3.1755555555555558E-2</v>
      </c>
      <c r="I115" s="409">
        <f>I104</f>
        <v>20.491463055555556</v>
      </c>
    </row>
    <row r="116" spans="1:9" x14ac:dyDescent="0.2">
      <c r="A116" s="68" t="s">
        <v>347</v>
      </c>
      <c r="B116" s="819" t="s">
        <v>912</v>
      </c>
      <c r="C116" s="819"/>
      <c r="D116" s="819"/>
      <c r="E116" s="819"/>
      <c r="F116" s="288"/>
      <c r="G116" s="325"/>
      <c r="H116" s="434"/>
      <c r="I116" s="415"/>
    </row>
    <row r="117" spans="1:9" x14ac:dyDescent="0.2">
      <c r="A117" s="132"/>
      <c r="B117" s="752" t="s">
        <v>352</v>
      </c>
      <c r="C117" s="781"/>
      <c r="D117" s="781"/>
      <c r="E117" s="788"/>
      <c r="F117" s="289"/>
      <c r="G117" s="317">
        <f>SUM(G115:G116)</f>
        <v>18.973618949999999</v>
      </c>
      <c r="H117" s="438"/>
      <c r="I117" s="403">
        <f>SUM(I115:I116)</f>
        <v>20.491463055555556</v>
      </c>
    </row>
    <row r="118" spans="1:9" x14ac:dyDescent="0.2">
      <c r="A118" s="78"/>
      <c r="B118" s="86"/>
      <c r="C118" s="86"/>
      <c r="D118" s="86"/>
      <c r="E118" s="86"/>
      <c r="F118" s="291"/>
      <c r="G118" s="326"/>
      <c r="H118" s="918"/>
      <c r="I118" s="919"/>
    </row>
    <row r="119" spans="1:9" x14ac:dyDescent="0.2">
      <c r="A119" s="73"/>
      <c r="B119" s="752" t="s">
        <v>888</v>
      </c>
      <c r="C119" s="781"/>
      <c r="D119" s="781"/>
      <c r="E119" s="781"/>
      <c r="F119" s="781"/>
      <c r="G119" s="320"/>
      <c r="H119" s="908"/>
      <c r="I119" s="909"/>
    </row>
    <row r="120" spans="1:9" x14ac:dyDescent="0.2">
      <c r="A120" s="68">
        <v>5</v>
      </c>
      <c r="B120" s="678" t="s">
        <v>338</v>
      </c>
      <c r="C120" s="793"/>
      <c r="D120" s="793"/>
      <c r="E120" s="793"/>
      <c r="F120" s="818"/>
      <c r="G120" s="311" t="s">
        <v>331</v>
      </c>
      <c r="H120" s="433"/>
      <c r="I120" s="401" t="s">
        <v>331</v>
      </c>
    </row>
    <row r="121" spans="1:9" x14ac:dyDescent="0.2">
      <c r="A121" s="68" t="s">
        <v>316</v>
      </c>
      <c r="B121" s="804" t="s">
        <v>339</v>
      </c>
      <c r="C121" s="679"/>
      <c r="D121" s="679"/>
      <c r="E121" s="679"/>
      <c r="F121" s="680"/>
      <c r="G121" s="327">
        <f>Uniformes!J18</f>
        <v>35.580000000000005</v>
      </c>
      <c r="H121" s="433"/>
      <c r="I121" s="414">
        <f>Uniformes!J18</f>
        <v>35.580000000000005</v>
      </c>
    </row>
    <row r="122" spans="1:9" x14ac:dyDescent="0.2">
      <c r="A122" s="68" t="s">
        <v>318</v>
      </c>
      <c r="B122" s="804" t="s">
        <v>583</v>
      </c>
      <c r="C122" s="679"/>
      <c r="D122" s="679"/>
      <c r="E122" s="679"/>
      <c r="F122" s="680"/>
      <c r="G122" s="327"/>
      <c r="H122" s="433"/>
      <c r="I122" s="414"/>
    </row>
    <row r="123" spans="1:9" x14ac:dyDescent="0.2">
      <c r="A123" s="78" t="s">
        <v>321</v>
      </c>
      <c r="B123" s="804" t="s">
        <v>584</v>
      </c>
      <c r="C123" s="679"/>
      <c r="D123" s="679"/>
      <c r="E123" s="679"/>
      <c r="F123" s="680"/>
      <c r="G123" s="327">
        <f>'Ferramentas - Equipts'!F110</f>
        <v>44.99</v>
      </c>
      <c r="H123" s="433"/>
      <c r="I123" s="414">
        <f>'Ferramentas - Equipts'!F110</f>
        <v>44.99</v>
      </c>
    </row>
    <row r="124" spans="1:9" x14ac:dyDescent="0.2">
      <c r="A124" s="78" t="s">
        <v>322</v>
      </c>
      <c r="B124" s="804" t="s">
        <v>575</v>
      </c>
      <c r="C124" s="679"/>
      <c r="D124" s="679"/>
      <c r="E124" s="679"/>
      <c r="F124" s="680"/>
      <c r="G124" s="327"/>
      <c r="H124" s="433"/>
      <c r="I124" s="414"/>
    </row>
    <row r="125" spans="1:9" x14ac:dyDescent="0.2">
      <c r="A125" s="73"/>
      <c r="B125" s="752" t="s">
        <v>352</v>
      </c>
      <c r="C125" s="781"/>
      <c r="D125" s="781"/>
      <c r="E125" s="781"/>
      <c r="F125" s="788"/>
      <c r="G125" s="317">
        <f>SUM(G121:G124)</f>
        <v>80.570000000000007</v>
      </c>
      <c r="H125" s="440"/>
      <c r="I125" s="403">
        <f>SUM(I121:I124)</f>
        <v>80.570000000000007</v>
      </c>
    </row>
    <row r="126" spans="1:9" x14ac:dyDescent="0.2">
      <c r="A126" s="845" t="s">
        <v>1039</v>
      </c>
      <c r="B126" s="846"/>
      <c r="C126" s="846"/>
      <c r="D126" s="846"/>
      <c r="E126" s="846"/>
      <c r="F126" s="846"/>
      <c r="G126" s="846"/>
      <c r="H126" s="906"/>
      <c r="I126" s="907"/>
    </row>
    <row r="127" spans="1:9" x14ac:dyDescent="0.2">
      <c r="A127" s="129"/>
      <c r="B127" s="84"/>
      <c r="C127" s="84"/>
      <c r="D127" s="84"/>
      <c r="E127" s="84"/>
      <c r="F127" s="291"/>
      <c r="G127" s="328"/>
      <c r="H127" s="906"/>
      <c r="I127" s="907"/>
    </row>
    <row r="128" spans="1:9" x14ac:dyDescent="0.2">
      <c r="A128" s="73"/>
      <c r="B128" s="752" t="s">
        <v>891</v>
      </c>
      <c r="C128" s="781"/>
      <c r="D128" s="781"/>
      <c r="E128" s="781"/>
      <c r="F128" s="781"/>
      <c r="G128" s="253"/>
      <c r="H128" s="908"/>
      <c r="I128" s="909"/>
    </row>
    <row r="129" spans="1:9" x14ac:dyDescent="0.2">
      <c r="A129" s="68">
        <v>6</v>
      </c>
      <c r="B129" s="820" t="s">
        <v>349</v>
      </c>
      <c r="C129" s="820"/>
      <c r="D129" s="820"/>
      <c r="E129" s="874" t="s">
        <v>563</v>
      </c>
      <c r="F129" s="874"/>
      <c r="G129" s="329" t="s">
        <v>331</v>
      </c>
      <c r="H129" s="433"/>
      <c r="I129" s="402" t="s">
        <v>331</v>
      </c>
    </row>
    <row r="130" spans="1:9" ht="12.75" customHeight="1" x14ac:dyDescent="0.2">
      <c r="A130" s="68" t="s">
        <v>316</v>
      </c>
      <c r="B130" s="804" t="s">
        <v>350</v>
      </c>
      <c r="C130" s="679"/>
      <c r="D130" s="680"/>
      <c r="E130" s="847">
        <f>ADM</f>
        <v>2.3199999999999998E-2</v>
      </c>
      <c r="F130" s="848"/>
      <c r="G130" s="327">
        <f>(G35+G81+G91+G117+G125)*E130</f>
        <v>27.489259179660802</v>
      </c>
      <c r="H130" s="433"/>
      <c r="I130" s="414">
        <f>(I35+I81+I91+I117+I125)*E130</f>
        <v>29.50344949026384</v>
      </c>
    </row>
    <row r="131" spans="1:9" ht="12.75" customHeight="1" x14ac:dyDescent="0.2">
      <c r="A131" s="68" t="s">
        <v>318</v>
      </c>
      <c r="B131" s="804" t="s">
        <v>576</v>
      </c>
      <c r="C131" s="679"/>
      <c r="D131" s="680"/>
      <c r="E131" s="847">
        <f>LUCRO_ENGEMIL</f>
        <v>2.3300000000000001E-2</v>
      </c>
      <c r="F131" s="848"/>
      <c r="G131" s="327">
        <f>(G35+G81+G91+G117+G125+G130)*E131</f>
        <v>28.248247104666135</v>
      </c>
      <c r="H131" s="433"/>
      <c r="I131" s="414">
        <f>(I35+I81+I91+I117+I125+I130)*E131</f>
        <v>30.318049904293304</v>
      </c>
    </row>
    <row r="132" spans="1:9" x14ac:dyDescent="0.2">
      <c r="A132" s="68" t="s">
        <v>321</v>
      </c>
      <c r="B132" s="804" t="s">
        <v>351</v>
      </c>
      <c r="C132" s="679"/>
      <c r="D132" s="680"/>
      <c r="E132" s="847">
        <f>SUM(E133:F134)</f>
        <v>0.10150000000000001</v>
      </c>
      <c r="F132" s="848"/>
      <c r="G132" s="325"/>
      <c r="H132" s="433"/>
      <c r="I132" s="415"/>
    </row>
    <row r="133" spans="1:9" ht="24.75" customHeight="1" x14ac:dyDescent="0.2">
      <c r="A133" s="85"/>
      <c r="B133" s="819" t="s">
        <v>971</v>
      </c>
      <c r="C133" s="819"/>
      <c r="D133" s="819"/>
      <c r="E133" s="847">
        <v>8.1500000000000003E-2</v>
      </c>
      <c r="F133" s="848"/>
      <c r="G133" s="327">
        <f>E133*G147</f>
        <v>112.53253027194565</v>
      </c>
      <c r="H133" s="433"/>
      <c r="I133" s="414">
        <f>E133*I147</f>
        <v>120.77800282615337</v>
      </c>
    </row>
    <row r="134" spans="1:9" ht="12.75" customHeight="1" x14ac:dyDescent="0.2">
      <c r="A134" s="85"/>
      <c r="B134" s="819" t="s">
        <v>972</v>
      </c>
      <c r="C134" s="819"/>
      <c r="D134" s="819"/>
      <c r="E134" s="847">
        <v>0.02</v>
      </c>
      <c r="F134" s="848"/>
      <c r="G134" s="327">
        <f>E134*G147</f>
        <v>27.615344852011198</v>
      </c>
      <c r="H134" s="433"/>
      <c r="I134" s="414">
        <f>E134*I147</f>
        <v>29.638773699669539</v>
      </c>
    </row>
    <row r="135" spans="1:9" x14ac:dyDescent="0.2">
      <c r="A135" s="73"/>
      <c r="B135" s="752" t="s">
        <v>352</v>
      </c>
      <c r="C135" s="781"/>
      <c r="D135" s="788"/>
      <c r="E135" s="849">
        <f>E130+E131+E132</f>
        <v>0.14800000000000002</v>
      </c>
      <c r="F135" s="788"/>
      <c r="G135" s="330">
        <f>SUM(G130:G134)</f>
        <v>195.88538140828379</v>
      </c>
      <c r="H135" s="433"/>
      <c r="I135" s="403">
        <f>SUM(I130:I134)</f>
        <v>210.23827592038006</v>
      </c>
    </row>
    <row r="136" spans="1:9" x14ac:dyDescent="0.2">
      <c r="A136" s="845" t="s">
        <v>1042</v>
      </c>
      <c r="B136" s="846"/>
      <c r="C136" s="846"/>
      <c r="D136" s="846"/>
      <c r="E136" s="846"/>
      <c r="F136" s="846"/>
      <c r="G136" s="846"/>
      <c r="H136" s="906"/>
      <c r="I136" s="907"/>
    </row>
    <row r="137" spans="1:9" x14ac:dyDescent="0.2">
      <c r="A137" s="845" t="s">
        <v>1040</v>
      </c>
      <c r="B137" s="846"/>
      <c r="C137" s="846"/>
      <c r="D137" s="846"/>
      <c r="E137" s="846"/>
      <c r="F137" s="846"/>
      <c r="G137" s="846"/>
      <c r="H137" s="906"/>
      <c r="I137" s="907"/>
    </row>
    <row r="138" spans="1:9" x14ac:dyDescent="0.2">
      <c r="A138" s="132"/>
      <c r="B138" s="781" t="s">
        <v>577</v>
      </c>
      <c r="C138" s="781"/>
      <c r="D138" s="781"/>
      <c r="E138" s="781"/>
      <c r="F138" s="781"/>
      <c r="G138" s="320"/>
      <c r="H138" s="908"/>
      <c r="I138" s="909"/>
    </row>
    <row r="139" spans="1:9" x14ac:dyDescent="0.2">
      <c r="A139" s="87"/>
      <c r="B139" s="791" t="s">
        <v>353</v>
      </c>
      <c r="C139" s="792"/>
      <c r="D139" s="792"/>
      <c r="E139" s="792"/>
      <c r="F139" s="809"/>
      <c r="G139" s="310" t="s">
        <v>354</v>
      </c>
      <c r="H139" s="433"/>
      <c r="I139" s="417" t="s">
        <v>354</v>
      </c>
    </row>
    <row r="140" spans="1:9" x14ac:dyDescent="0.2">
      <c r="A140" s="68" t="s">
        <v>316</v>
      </c>
      <c r="B140" s="844" t="s">
        <v>967</v>
      </c>
      <c r="C140" s="842"/>
      <c r="D140" s="842"/>
      <c r="E140" s="842"/>
      <c r="F140" s="843"/>
      <c r="G140" s="331">
        <f>G35</f>
        <v>597.48974999999996</v>
      </c>
      <c r="H140" s="433"/>
      <c r="I140" s="418">
        <f>I35</f>
        <v>645.28750000000002</v>
      </c>
    </row>
    <row r="141" spans="1:9" x14ac:dyDescent="0.2">
      <c r="A141" s="68" t="s">
        <v>318</v>
      </c>
      <c r="B141" s="844" t="s">
        <v>968</v>
      </c>
      <c r="C141" s="842"/>
      <c r="D141" s="842"/>
      <c r="E141" s="842"/>
      <c r="F141" s="843"/>
      <c r="G141" s="331">
        <f>G81</f>
        <v>460.03072789314746</v>
      </c>
      <c r="H141" s="433"/>
      <c r="I141" s="418">
        <f>I81</f>
        <v>495.31282289566667</v>
      </c>
    </row>
    <row r="142" spans="1:9" x14ac:dyDescent="0.2">
      <c r="A142" s="68" t="s">
        <v>321</v>
      </c>
      <c r="B142" s="844" t="s">
        <v>949</v>
      </c>
      <c r="C142" s="842"/>
      <c r="D142" s="842"/>
      <c r="E142" s="842"/>
      <c r="F142" s="843"/>
      <c r="G142" s="331">
        <f>G91</f>
        <v>27.81776434912868</v>
      </c>
      <c r="H142" s="433"/>
      <c r="I142" s="418">
        <f>I91</f>
        <v>30.038623111874365</v>
      </c>
    </row>
    <row r="143" spans="1:9" x14ac:dyDescent="0.2">
      <c r="A143" s="68" t="s">
        <v>322</v>
      </c>
      <c r="B143" s="844" t="s">
        <v>950</v>
      </c>
      <c r="C143" s="842"/>
      <c r="D143" s="842"/>
      <c r="E143" s="842"/>
      <c r="F143" s="843"/>
      <c r="G143" s="331">
        <f>G117</f>
        <v>18.973618949999999</v>
      </c>
      <c r="H143" s="433"/>
      <c r="I143" s="418">
        <f>I117</f>
        <v>20.491463055555556</v>
      </c>
    </row>
    <row r="144" spans="1:9" x14ac:dyDescent="0.2">
      <c r="A144" s="68" t="s">
        <v>333</v>
      </c>
      <c r="B144" s="842" t="s">
        <v>969</v>
      </c>
      <c r="C144" s="842"/>
      <c r="D144" s="842"/>
      <c r="E144" s="842"/>
      <c r="F144" s="843"/>
      <c r="G144" s="331">
        <f>G125</f>
        <v>80.570000000000007</v>
      </c>
      <c r="H144" s="433"/>
      <c r="I144" s="418">
        <f>I125</f>
        <v>80.570000000000007</v>
      </c>
    </row>
    <row r="145" spans="1:9" x14ac:dyDescent="0.2">
      <c r="A145" s="137"/>
      <c r="B145" s="822" t="s">
        <v>578</v>
      </c>
      <c r="C145" s="822"/>
      <c r="D145" s="822"/>
      <c r="E145" s="822"/>
      <c r="F145" s="823"/>
      <c r="G145" s="331">
        <f>SUM(G140:G144)</f>
        <v>1184.8818611922761</v>
      </c>
      <c r="H145" s="433"/>
      <c r="I145" s="418">
        <f>SUM(I140:I144)</f>
        <v>1271.7004090630967</v>
      </c>
    </row>
    <row r="146" spans="1:9" x14ac:dyDescent="0.2">
      <c r="A146" s="136" t="s">
        <v>334</v>
      </c>
      <c r="B146" s="844" t="s">
        <v>952</v>
      </c>
      <c r="C146" s="842"/>
      <c r="D146" s="842"/>
      <c r="E146" s="842"/>
      <c r="F146" s="843"/>
      <c r="G146" s="331">
        <f>G135</f>
        <v>195.88538140828379</v>
      </c>
      <c r="H146" s="433"/>
      <c r="I146" s="418">
        <f>I135</f>
        <v>210.23827592038006</v>
      </c>
    </row>
    <row r="147" spans="1:9" ht="16.5" thickBot="1" x14ac:dyDescent="0.3">
      <c r="A147" s="89"/>
      <c r="B147" s="766" t="s">
        <v>355</v>
      </c>
      <c r="C147" s="767"/>
      <c r="D147" s="767"/>
      <c r="E147" s="767"/>
      <c r="F147" s="768"/>
      <c r="G147" s="428">
        <f>(G130+G131+G145)/(1-E132)</f>
        <v>1380.7672426005599</v>
      </c>
      <c r="H147" s="445"/>
      <c r="I147" s="430">
        <f>(I130+I131+I145)/(1-E132)</f>
        <v>1481.9386849834768</v>
      </c>
    </row>
  </sheetData>
  <mergeCells count="221">
    <mergeCell ref="H26:I26"/>
    <mergeCell ref="H10:I10"/>
    <mergeCell ref="H11:I11"/>
    <mergeCell ref="H12:I12"/>
    <mergeCell ref="H13:I13"/>
    <mergeCell ref="H15:I15"/>
    <mergeCell ref="H16:I16"/>
    <mergeCell ref="H17:I18"/>
    <mergeCell ref="H22:I22"/>
    <mergeCell ref="H23:I23"/>
    <mergeCell ref="H20:I21"/>
    <mergeCell ref="H19:I19"/>
    <mergeCell ref="A6:G6"/>
    <mergeCell ref="B10:E10"/>
    <mergeCell ref="F10:G10"/>
    <mergeCell ref="A1:G1"/>
    <mergeCell ref="A2:G3"/>
    <mergeCell ref="A4:G4"/>
    <mergeCell ref="A5:G5"/>
    <mergeCell ref="H24:I24"/>
    <mergeCell ref="H25:I25"/>
    <mergeCell ref="B11:E11"/>
    <mergeCell ref="F11:G11"/>
    <mergeCell ref="A9:G9"/>
    <mergeCell ref="A7:G7"/>
    <mergeCell ref="A8:G8"/>
    <mergeCell ref="A16:D16"/>
    <mergeCell ref="F16:G16"/>
    <mergeCell ref="A19:G19"/>
    <mergeCell ref="A20:G20"/>
    <mergeCell ref="B12:E12"/>
    <mergeCell ref="F12:G12"/>
    <mergeCell ref="B13:E13"/>
    <mergeCell ref="F13:G13"/>
    <mergeCell ref="A14:G14"/>
    <mergeCell ref="A15:D15"/>
    <mergeCell ref="F15:G15"/>
    <mergeCell ref="A17:E17"/>
    <mergeCell ref="A18:E18"/>
    <mergeCell ref="F17:G18"/>
    <mergeCell ref="B25:E25"/>
    <mergeCell ref="F25:G25"/>
    <mergeCell ref="B26:E26"/>
    <mergeCell ref="F26:G26"/>
    <mergeCell ref="A21:G21"/>
    <mergeCell ref="B22:E22"/>
    <mergeCell ref="F22:G22"/>
    <mergeCell ref="B23:E23"/>
    <mergeCell ref="F23:G23"/>
    <mergeCell ref="B24:E24"/>
    <mergeCell ref="F24:G24"/>
    <mergeCell ref="B34:E34"/>
    <mergeCell ref="B35:E35"/>
    <mergeCell ref="A37:G37"/>
    <mergeCell ref="B28:E28"/>
    <mergeCell ref="B29:E29"/>
    <mergeCell ref="B30:E30"/>
    <mergeCell ref="B31:E31"/>
    <mergeCell ref="B32:E32"/>
    <mergeCell ref="B33:E33"/>
    <mergeCell ref="A36:G36"/>
    <mergeCell ref="A45:G45"/>
    <mergeCell ref="A48:G48"/>
    <mergeCell ref="B49:E49"/>
    <mergeCell ref="B50:E50"/>
    <mergeCell ref="B51:E51"/>
    <mergeCell ref="B52:E52"/>
    <mergeCell ref="A39:G39"/>
    <mergeCell ref="B40:F40"/>
    <mergeCell ref="B41:E41"/>
    <mergeCell ref="B42:E42"/>
    <mergeCell ref="A44:G44"/>
    <mergeCell ref="B43:E43"/>
    <mergeCell ref="A46:G46"/>
    <mergeCell ref="A59:G59"/>
    <mergeCell ref="A60:G60"/>
    <mergeCell ref="A61:G61"/>
    <mergeCell ref="A63:G63"/>
    <mergeCell ref="B53:E53"/>
    <mergeCell ref="B54:E54"/>
    <mergeCell ref="B55:E55"/>
    <mergeCell ref="B56:E56"/>
    <mergeCell ref="B57:E57"/>
    <mergeCell ref="B58:E58"/>
    <mergeCell ref="B70:F70"/>
    <mergeCell ref="B71:F71"/>
    <mergeCell ref="B72:F72"/>
    <mergeCell ref="A73:G73"/>
    <mergeCell ref="A74:G74"/>
    <mergeCell ref="B64:F64"/>
    <mergeCell ref="B65:F65"/>
    <mergeCell ref="B66:F66"/>
    <mergeCell ref="B67:F67"/>
    <mergeCell ref="B68:F68"/>
    <mergeCell ref="B69:F69"/>
    <mergeCell ref="B88:E88"/>
    <mergeCell ref="B89:E89"/>
    <mergeCell ref="B90:E90"/>
    <mergeCell ref="B91:E91"/>
    <mergeCell ref="A82:G82"/>
    <mergeCell ref="B84:E84"/>
    <mergeCell ref="B85:E85"/>
    <mergeCell ref="B86:E86"/>
    <mergeCell ref="A76:G76"/>
    <mergeCell ref="B77:F77"/>
    <mergeCell ref="B78:F78"/>
    <mergeCell ref="B79:F79"/>
    <mergeCell ref="B80:F80"/>
    <mergeCell ref="B81:F81"/>
    <mergeCell ref="B147:F147"/>
    <mergeCell ref="E135:F135"/>
    <mergeCell ref="B132:D132"/>
    <mergeCell ref="E132:F132"/>
    <mergeCell ref="B133:D133"/>
    <mergeCell ref="E133:F133"/>
    <mergeCell ref="B134:D134"/>
    <mergeCell ref="E134:F134"/>
    <mergeCell ref="B129:D129"/>
    <mergeCell ref="E129:F129"/>
    <mergeCell ref="B130:D130"/>
    <mergeCell ref="E130:F130"/>
    <mergeCell ref="B131:D131"/>
    <mergeCell ref="E131:F131"/>
    <mergeCell ref="B135:D135"/>
    <mergeCell ref="A137:G137"/>
    <mergeCell ref="A136:G136"/>
    <mergeCell ref="B142:F142"/>
    <mergeCell ref="B143:F143"/>
    <mergeCell ref="B144:F144"/>
    <mergeCell ref="B146:F146"/>
    <mergeCell ref="B139:F139"/>
    <mergeCell ref="B140:F140"/>
    <mergeCell ref="B145:F145"/>
    <mergeCell ref="B124:F124"/>
    <mergeCell ref="A126:G126"/>
    <mergeCell ref="B120:F120"/>
    <mergeCell ref="B121:F121"/>
    <mergeCell ref="B122:F122"/>
    <mergeCell ref="B117:E117"/>
    <mergeCell ref="B125:F125"/>
    <mergeCell ref="B141:F141"/>
    <mergeCell ref="B27:E27"/>
    <mergeCell ref="B38:E38"/>
    <mergeCell ref="B83:E83"/>
    <mergeCell ref="B93:E93"/>
    <mergeCell ref="B113:E113"/>
    <mergeCell ref="B119:F119"/>
    <mergeCell ref="B128:F128"/>
    <mergeCell ref="B138:F138"/>
    <mergeCell ref="A112:G112"/>
    <mergeCell ref="B114:E114"/>
    <mergeCell ref="B115:E115"/>
    <mergeCell ref="B116:E116"/>
    <mergeCell ref="A107:G107"/>
    <mergeCell ref="B108:E108"/>
    <mergeCell ref="B109:E109"/>
    <mergeCell ref="A111:G111"/>
    <mergeCell ref="H5:I9"/>
    <mergeCell ref="H1:I1"/>
    <mergeCell ref="H14:I14"/>
    <mergeCell ref="H36:I36"/>
    <mergeCell ref="H37:I37"/>
    <mergeCell ref="H38:I38"/>
    <mergeCell ref="H44:I44"/>
    <mergeCell ref="H45:I45"/>
    <mergeCell ref="B123:F123"/>
    <mergeCell ref="B110:E110"/>
    <mergeCell ref="B103:E103"/>
    <mergeCell ref="A105:G105"/>
    <mergeCell ref="A106:G106"/>
    <mergeCell ref="B97:E97"/>
    <mergeCell ref="B98:E98"/>
    <mergeCell ref="B99:E99"/>
    <mergeCell ref="B100:E100"/>
    <mergeCell ref="B101:E101"/>
    <mergeCell ref="B102:E102"/>
    <mergeCell ref="B104:E104"/>
    <mergeCell ref="A94:G94"/>
    <mergeCell ref="A95:G95"/>
    <mergeCell ref="A96:G96"/>
    <mergeCell ref="B87:E87"/>
    <mergeCell ref="H76:I76"/>
    <mergeCell ref="H82:I82"/>
    <mergeCell ref="H83:I83"/>
    <mergeCell ref="H93:I93"/>
    <mergeCell ref="H94:I94"/>
    <mergeCell ref="H95:I95"/>
    <mergeCell ref="H96:I96"/>
    <mergeCell ref="H46:I46"/>
    <mergeCell ref="H47:I47"/>
    <mergeCell ref="H48:I48"/>
    <mergeCell ref="H59:I59"/>
    <mergeCell ref="H60:I60"/>
    <mergeCell ref="H61:I61"/>
    <mergeCell ref="H62:I62"/>
    <mergeCell ref="H63:I63"/>
    <mergeCell ref="H73:I73"/>
    <mergeCell ref="H2:I4"/>
    <mergeCell ref="H127:I127"/>
    <mergeCell ref="H136:I136"/>
    <mergeCell ref="H137:I137"/>
    <mergeCell ref="H138:I138"/>
    <mergeCell ref="H128:I128"/>
    <mergeCell ref="F27:G27"/>
    <mergeCell ref="H27:I27"/>
    <mergeCell ref="F38:G38"/>
    <mergeCell ref="F110:G110"/>
    <mergeCell ref="F113:G113"/>
    <mergeCell ref="H113:I113"/>
    <mergeCell ref="H119:I119"/>
    <mergeCell ref="H105:I105"/>
    <mergeCell ref="H106:I106"/>
    <mergeCell ref="H107:I107"/>
    <mergeCell ref="H109:I109"/>
    <mergeCell ref="H110:I110"/>
    <mergeCell ref="H111:I111"/>
    <mergeCell ref="H112:I112"/>
    <mergeCell ref="H118:I118"/>
    <mergeCell ref="H126:I126"/>
    <mergeCell ref="H74:I74"/>
    <mergeCell ref="H75:I75"/>
  </mergeCells>
  <printOptions horizontalCentered="1"/>
  <pageMargins left="0.53149606299212604" right="0.53149606299212604" top="1.1811023622047245" bottom="0.98425196850393704" header="0" footer="0"/>
  <pageSetup paperSize="9" scale="63"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J147"/>
  <sheetViews>
    <sheetView view="pageBreakPreview" topLeftCell="A46" zoomScale="120" zoomScaleNormal="140" zoomScaleSheetLayoutView="120" workbookViewId="0">
      <selection activeCell="H49" sqref="H49"/>
    </sheetView>
  </sheetViews>
  <sheetFormatPr defaultRowHeight="12.75" x14ac:dyDescent="0.2"/>
  <cols>
    <col min="1" max="2" width="9.140625" style="91"/>
    <col min="3" max="3" width="11.85546875" style="91" customWidth="1"/>
    <col min="4" max="4" width="21.28515625" style="91" customWidth="1"/>
    <col min="5" max="5" width="30.140625" style="91" customWidth="1"/>
    <col min="6" max="6" width="10.7109375" style="298" customWidth="1"/>
    <col min="7" max="7" width="15.7109375" style="91" customWidth="1"/>
    <col min="8" max="8" width="10.7109375" style="431" customWidth="1"/>
    <col min="9" max="9" width="15.7109375" style="427" customWidth="1"/>
    <col min="10" max="16384" width="9.140625" style="91"/>
  </cols>
  <sheetData>
    <row r="1" spans="1:9" ht="15.75" customHeight="1" thickBot="1" x14ac:dyDescent="0.25">
      <c r="A1" s="826"/>
      <c r="B1" s="826"/>
      <c r="C1" s="826"/>
      <c r="D1" s="826"/>
      <c r="E1" s="826"/>
      <c r="F1" s="826"/>
      <c r="G1" s="826"/>
      <c r="H1" s="946"/>
      <c r="I1" s="947"/>
    </row>
    <row r="2" spans="1:9" ht="30.75" customHeight="1" x14ac:dyDescent="0.2">
      <c r="A2" s="827" t="s">
        <v>1017</v>
      </c>
      <c r="B2" s="828"/>
      <c r="C2" s="828"/>
      <c r="D2" s="828"/>
      <c r="E2" s="828"/>
      <c r="F2" s="828"/>
      <c r="G2" s="828"/>
      <c r="H2" s="739" t="s">
        <v>1004</v>
      </c>
      <c r="I2" s="741"/>
    </row>
    <row r="3" spans="1:9" ht="37.5" customHeight="1" thickBot="1" x14ac:dyDescent="0.25">
      <c r="A3" s="829"/>
      <c r="B3" s="830"/>
      <c r="C3" s="830"/>
      <c r="D3" s="830"/>
      <c r="E3" s="830"/>
      <c r="F3" s="830"/>
      <c r="G3" s="830"/>
      <c r="H3" s="742"/>
      <c r="I3" s="744"/>
    </row>
    <row r="4" spans="1:9" ht="54.75" customHeight="1" x14ac:dyDescent="0.2">
      <c r="A4" s="883" t="s">
        <v>579</v>
      </c>
      <c r="B4" s="883"/>
      <c r="C4" s="883"/>
      <c r="D4" s="883"/>
      <c r="E4" s="883"/>
      <c r="F4" s="883"/>
      <c r="G4" s="884"/>
      <c r="H4" s="748"/>
      <c r="I4" s="749"/>
    </row>
    <row r="5" spans="1:9" ht="15" customHeight="1" x14ac:dyDescent="0.2">
      <c r="A5" s="785" t="s">
        <v>927</v>
      </c>
      <c r="B5" s="786"/>
      <c r="C5" s="786"/>
      <c r="D5" s="786"/>
      <c r="E5" s="786"/>
      <c r="F5" s="786"/>
      <c r="G5" s="786"/>
      <c r="H5" s="900" t="s">
        <v>1141</v>
      </c>
      <c r="I5" s="901"/>
    </row>
    <row r="6" spans="1:9" x14ac:dyDescent="0.2">
      <c r="A6" s="785" t="s">
        <v>928</v>
      </c>
      <c r="B6" s="786"/>
      <c r="C6" s="786"/>
      <c r="D6" s="786"/>
      <c r="E6" s="786"/>
      <c r="F6" s="786"/>
      <c r="G6" s="786"/>
      <c r="H6" s="902"/>
      <c r="I6" s="903"/>
    </row>
    <row r="7" spans="1:9" ht="12.75" customHeight="1" x14ac:dyDescent="0.2">
      <c r="A7" s="785" t="s">
        <v>929</v>
      </c>
      <c r="B7" s="786"/>
      <c r="C7" s="786"/>
      <c r="D7" s="786"/>
      <c r="E7" s="786"/>
      <c r="F7" s="786"/>
      <c r="G7" s="786"/>
      <c r="H7" s="902"/>
      <c r="I7" s="903"/>
    </row>
    <row r="8" spans="1:9" ht="12.75" customHeight="1" x14ac:dyDescent="0.2">
      <c r="A8" s="685" t="s">
        <v>1147</v>
      </c>
      <c r="B8" s="686"/>
      <c r="C8" s="686"/>
      <c r="D8" s="686"/>
      <c r="E8" s="686"/>
      <c r="F8" s="686"/>
      <c r="G8" s="686"/>
      <c r="H8" s="902"/>
      <c r="I8" s="903"/>
    </row>
    <row r="9" spans="1:9" x14ac:dyDescent="0.2">
      <c r="A9" s="752" t="s">
        <v>546</v>
      </c>
      <c r="B9" s="781"/>
      <c r="C9" s="781"/>
      <c r="D9" s="781"/>
      <c r="E9" s="781"/>
      <c r="F9" s="781"/>
      <c r="G9" s="781"/>
      <c r="H9" s="904"/>
      <c r="I9" s="905"/>
    </row>
    <row r="10" spans="1:9" x14ac:dyDescent="0.2">
      <c r="A10" s="68" t="s">
        <v>316</v>
      </c>
      <c r="B10" s="770" t="s">
        <v>317</v>
      </c>
      <c r="C10" s="771"/>
      <c r="D10" s="771"/>
      <c r="E10" s="772"/>
      <c r="F10" s="773">
        <v>43580</v>
      </c>
      <c r="G10" s="774"/>
      <c r="H10" s="640">
        <v>43669</v>
      </c>
      <c r="I10" s="641"/>
    </row>
    <row r="11" spans="1:9" x14ac:dyDescent="0.2">
      <c r="A11" s="68" t="s">
        <v>318</v>
      </c>
      <c r="B11" s="770" t="s">
        <v>319</v>
      </c>
      <c r="C11" s="771"/>
      <c r="D11" s="771"/>
      <c r="E11" s="772"/>
      <c r="F11" s="775" t="s">
        <v>320</v>
      </c>
      <c r="G11" s="776"/>
      <c r="H11" s="642" t="s">
        <v>320</v>
      </c>
      <c r="I11" s="643"/>
    </row>
    <row r="12" spans="1:9" ht="27.75" customHeight="1" x14ac:dyDescent="0.2">
      <c r="A12" s="69" t="s">
        <v>321</v>
      </c>
      <c r="B12" s="782" t="s">
        <v>605</v>
      </c>
      <c r="C12" s="783"/>
      <c r="D12" s="783"/>
      <c r="E12" s="784"/>
      <c r="F12" s="752" t="s">
        <v>878</v>
      </c>
      <c r="G12" s="781"/>
      <c r="H12" s="954" t="s">
        <v>1152</v>
      </c>
      <c r="I12" s="955"/>
    </row>
    <row r="13" spans="1:9" x14ac:dyDescent="0.2">
      <c r="A13" s="68" t="s">
        <v>322</v>
      </c>
      <c r="B13" s="770" t="s">
        <v>1140</v>
      </c>
      <c r="C13" s="771"/>
      <c r="D13" s="771"/>
      <c r="E13" s="772"/>
      <c r="F13" s="775">
        <v>24</v>
      </c>
      <c r="G13" s="776"/>
      <c r="H13" s="956">
        <v>24</v>
      </c>
      <c r="I13" s="957"/>
    </row>
    <row r="14" spans="1:9" x14ac:dyDescent="0.2">
      <c r="A14" s="752" t="s">
        <v>547</v>
      </c>
      <c r="B14" s="781"/>
      <c r="C14" s="781"/>
      <c r="D14" s="781"/>
      <c r="E14" s="781"/>
      <c r="F14" s="781"/>
      <c r="G14" s="781"/>
      <c r="H14" s="908"/>
      <c r="I14" s="909"/>
    </row>
    <row r="15" spans="1:9" ht="42.75" customHeight="1" x14ac:dyDescent="0.2">
      <c r="A15" s="787" t="s">
        <v>323</v>
      </c>
      <c r="B15" s="787"/>
      <c r="C15" s="787"/>
      <c r="D15" s="787"/>
      <c r="E15" s="314" t="s">
        <v>324</v>
      </c>
      <c r="F15" s="958" t="s">
        <v>899</v>
      </c>
      <c r="G15" s="959"/>
      <c r="H15" s="934" t="s">
        <v>899</v>
      </c>
      <c r="I15" s="935"/>
    </row>
    <row r="16" spans="1:9" ht="16.5" customHeight="1" x14ac:dyDescent="0.2">
      <c r="A16" s="777" t="s">
        <v>919</v>
      </c>
      <c r="B16" s="778"/>
      <c r="C16" s="778"/>
      <c r="D16" s="779"/>
      <c r="E16" s="78" t="s">
        <v>325</v>
      </c>
      <c r="F16" s="962">
        <v>3</v>
      </c>
      <c r="G16" s="963"/>
      <c r="H16" s="800">
        <v>3</v>
      </c>
      <c r="I16" s="801"/>
    </row>
    <row r="17" spans="1:9" ht="22.5" customHeight="1" x14ac:dyDescent="0.2">
      <c r="A17" s="789" t="s">
        <v>1112</v>
      </c>
      <c r="B17" s="790"/>
      <c r="C17" s="790"/>
      <c r="D17" s="790"/>
      <c r="E17" s="790"/>
      <c r="F17" s="820"/>
      <c r="G17" s="791"/>
      <c r="H17" s="960"/>
      <c r="I17" s="961"/>
    </row>
    <row r="18" spans="1:9" ht="21" customHeight="1" x14ac:dyDescent="0.2">
      <c r="A18" s="789" t="s">
        <v>1113</v>
      </c>
      <c r="B18" s="790"/>
      <c r="C18" s="790"/>
      <c r="D18" s="790"/>
      <c r="E18" s="790"/>
      <c r="F18" s="820"/>
      <c r="G18" s="791"/>
      <c r="H18" s="960"/>
      <c r="I18" s="961"/>
    </row>
    <row r="19" spans="1:9" x14ac:dyDescent="0.2">
      <c r="A19" s="769" t="s">
        <v>901</v>
      </c>
      <c r="B19" s="769"/>
      <c r="C19" s="769"/>
      <c r="D19" s="769"/>
      <c r="E19" s="769"/>
      <c r="F19" s="769"/>
      <c r="G19" s="752"/>
      <c r="H19" s="936"/>
      <c r="I19" s="937"/>
    </row>
    <row r="20" spans="1:9" x14ac:dyDescent="0.2">
      <c r="A20" s="836" t="s">
        <v>326</v>
      </c>
      <c r="B20" s="836"/>
      <c r="C20" s="836"/>
      <c r="D20" s="836"/>
      <c r="E20" s="836"/>
      <c r="F20" s="836"/>
      <c r="G20" s="837"/>
      <c r="H20" s="936"/>
      <c r="I20" s="937"/>
    </row>
    <row r="21" spans="1:9" x14ac:dyDescent="0.2">
      <c r="A21" s="836" t="s">
        <v>327</v>
      </c>
      <c r="B21" s="836"/>
      <c r="C21" s="836"/>
      <c r="D21" s="836"/>
      <c r="E21" s="836"/>
      <c r="F21" s="836"/>
      <c r="G21" s="837"/>
      <c r="H21" s="936"/>
      <c r="I21" s="937"/>
    </row>
    <row r="22" spans="1:9" ht="30.75" customHeight="1" x14ac:dyDescent="0.2">
      <c r="A22" s="68">
        <v>1</v>
      </c>
      <c r="B22" s="810" t="s">
        <v>328</v>
      </c>
      <c r="C22" s="811"/>
      <c r="D22" s="811"/>
      <c r="E22" s="812"/>
      <c r="F22" s="785" t="s">
        <v>615</v>
      </c>
      <c r="G22" s="786"/>
      <c r="H22" s="866" t="s">
        <v>615</v>
      </c>
      <c r="I22" s="867"/>
    </row>
    <row r="23" spans="1:9" x14ac:dyDescent="0.2">
      <c r="A23" s="68">
        <v>2</v>
      </c>
      <c r="B23" s="810" t="s">
        <v>549</v>
      </c>
      <c r="C23" s="811"/>
      <c r="D23" s="811"/>
      <c r="E23" s="812"/>
      <c r="F23" s="752" t="s">
        <v>587</v>
      </c>
      <c r="G23" s="781"/>
      <c r="H23" s="750" t="s">
        <v>587</v>
      </c>
      <c r="I23" s="751"/>
    </row>
    <row r="24" spans="1:9" x14ac:dyDescent="0.2">
      <c r="A24" s="68">
        <v>2</v>
      </c>
      <c r="B24" s="951" t="s">
        <v>550</v>
      </c>
      <c r="C24" s="952"/>
      <c r="D24" s="952"/>
      <c r="E24" s="953"/>
      <c r="F24" s="816">
        <v>1706.8</v>
      </c>
      <c r="G24" s="817"/>
      <c r="H24" s="852">
        <v>1770</v>
      </c>
      <c r="I24" s="853"/>
    </row>
    <row r="25" spans="1:9" ht="27" customHeight="1" x14ac:dyDescent="0.2">
      <c r="A25" s="68">
        <v>3</v>
      </c>
      <c r="B25" s="810" t="s">
        <v>329</v>
      </c>
      <c r="C25" s="811"/>
      <c r="D25" s="811"/>
      <c r="E25" s="812"/>
      <c r="F25" s="785" t="str">
        <f>A16</f>
        <v xml:space="preserve"> Eletricista de Manutenção Predial</v>
      </c>
      <c r="G25" s="786"/>
      <c r="H25" s="866" t="str">
        <f>A16</f>
        <v xml:space="preserve"> Eletricista de Manutenção Predial</v>
      </c>
      <c r="I25" s="867"/>
    </row>
    <row r="26" spans="1:9" x14ac:dyDescent="0.2">
      <c r="A26" s="68">
        <v>4</v>
      </c>
      <c r="B26" s="810" t="s">
        <v>582</v>
      </c>
      <c r="C26" s="811"/>
      <c r="D26" s="811"/>
      <c r="E26" s="812"/>
      <c r="F26" s="835" t="s">
        <v>612</v>
      </c>
      <c r="G26" s="792"/>
      <c r="H26" s="856" t="s">
        <v>612</v>
      </c>
      <c r="I26" s="857"/>
    </row>
    <row r="27" spans="1:9" x14ac:dyDescent="0.2">
      <c r="A27" s="70"/>
      <c r="B27" s="891" t="s">
        <v>973</v>
      </c>
      <c r="C27" s="892"/>
      <c r="D27" s="892"/>
      <c r="E27" s="892"/>
      <c r="F27" s="283"/>
      <c r="G27" s="316"/>
      <c r="H27" s="435"/>
      <c r="I27" s="423"/>
    </row>
    <row r="28" spans="1:9" x14ac:dyDescent="0.2">
      <c r="A28" s="68">
        <v>1</v>
      </c>
      <c r="B28" s="791" t="s">
        <v>330</v>
      </c>
      <c r="C28" s="792"/>
      <c r="D28" s="792"/>
      <c r="E28" s="809"/>
      <c r="F28" s="284" t="s">
        <v>341</v>
      </c>
      <c r="G28" s="311" t="s">
        <v>331</v>
      </c>
      <c r="H28" s="432" t="s">
        <v>341</v>
      </c>
      <c r="I28" s="401" t="s">
        <v>331</v>
      </c>
    </row>
    <row r="29" spans="1:9" x14ac:dyDescent="0.2">
      <c r="A29" s="68" t="s">
        <v>316</v>
      </c>
      <c r="B29" s="804" t="s">
        <v>332</v>
      </c>
      <c r="C29" s="679"/>
      <c r="D29" s="679"/>
      <c r="E29" s="680"/>
      <c r="F29" s="286">
        <v>1</v>
      </c>
      <c r="G29" s="327">
        <f>F24</f>
        <v>1706.8</v>
      </c>
      <c r="H29" s="436">
        <v>1</v>
      </c>
      <c r="I29" s="414">
        <f>H24</f>
        <v>1770</v>
      </c>
    </row>
    <row r="30" spans="1:9" x14ac:dyDescent="0.2">
      <c r="A30" s="68" t="s">
        <v>318</v>
      </c>
      <c r="B30" s="804" t="s">
        <v>992</v>
      </c>
      <c r="C30" s="679"/>
      <c r="D30" s="679"/>
      <c r="E30" s="680"/>
      <c r="F30" s="286">
        <v>0.3</v>
      </c>
      <c r="G30" s="319">
        <f>G29*F30</f>
        <v>512.04</v>
      </c>
      <c r="H30" s="436">
        <v>0.3</v>
      </c>
      <c r="I30" s="404">
        <f>I29*H30</f>
        <v>531</v>
      </c>
    </row>
    <row r="31" spans="1:9" x14ac:dyDescent="0.2">
      <c r="A31" s="68" t="s">
        <v>321</v>
      </c>
      <c r="B31" s="804" t="s">
        <v>551</v>
      </c>
      <c r="C31" s="679"/>
      <c r="D31" s="679"/>
      <c r="E31" s="680"/>
      <c r="F31" s="286">
        <v>0</v>
      </c>
      <c r="G31" s="319">
        <f t="shared" ref="G31:G33" si="0">G30*F31</f>
        <v>0</v>
      </c>
      <c r="H31" s="436">
        <v>0</v>
      </c>
      <c r="I31" s="404">
        <f t="shared" ref="I31:I33" si="1">I30*H31</f>
        <v>0</v>
      </c>
    </row>
    <row r="32" spans="1:9" x14ac:dyDescent="0.2">
      <c r="A32" s="68" t="s">
        <v>322</v>
      </c>
      <c r="B32" s="804" t="s">
        <v>552</v>
      </c>
      <c r="C32" s="679"/>
      <c r="D32" s="679"/>
      <c r="E32" s="680"/>
      <c r="F32" s="286">
        <v>0</v>
      </c>
      <c r="G32" s="319">
        <f t="shared" si="0"/>
        <v>0</v>
      </c>
      <c r="H32" s="436">
        <v>0</v>
      </c>
      <c r="I32" s="404">
        <f t="shared" si="1"/>
        <v>0</v>
      </c>
    </row>
    <row r="33" spans="1:9" x14ac:dyDescent="0.2">
      <c r="A33" s="68" t="s">
        <v>333</v>
      </c>
      <c r="B33" s="804" t="s">
        <v>553</v>
      </c>
      <c r="C33" s="679"/>
      <c r="D33" s="679"/>
      <c r="E33" s="680"/>
      <c r="F33" s="286">
        <v>0</v>
      </c>
      <c r="G33" s="319">
        <f t="shared" si="0"/>
        <v>0</v>
      </c>
      <c r="H33" s="436">
        <v>0</v>
      </c>
      <c r="I33" s="404">
        <f t="shared" si="1"/>
        <v>0</v>
      </c>
    </row>
    <row r="34" spans="1:9" x14ac:dyDescent="0.2">
      <c r="A34" s="68" t="s">
        <v>334</v>
      </c>
      <c r="B34" s="804" t="s">
        <v>880</v>
      </c>
      <c r="C34" s="679"/>
      <c r="D34" s="679"/>
      <c r="E34" s="680"/>
      <c r="F34" s="286">
        <v>0</v>
      </c>
      <c r="G34" s="319">
        <v>0</v>
      </c>
      <c r="H34" s="436">
        <v>0</v>
      </c>
      <c r="I34" s="404">
        <v>0</v>
      </c>
    </row>
    <row r="35" spans="1:9" x14ac:dyDescent="0.2">
      <c r="A35" s="71"/>
      <c r="B35" s="752" t="s">
        <v>337</v>
      </c>
      <c r="C35" s="781"/>
      <c r="D35" s="781"/>
      <c r="E35" s="781"/>
      <c r="F35" s="287">
        <f>SUM(F29:F34)</f>
        <v>1.3</v>
      </c>
      <c r="G35" s="317">
        <f>SUM(G29:G34)</f>
        <v>2218.84</v>
      </c>
      <c r="H35" s="437">
        <f>SUM(H29:H34)</f>
        <v>1.3</v>
      </c>
      <c r="I35" s="403">
        <f>SUM(I29:I34)</f>
        <v>2301</v>
      </c>
    </row>
    <row r="36" spans="1:9" x14ac:dyDescent="0.2">
      <c r="A36" s="925" t="s">
        <v>1019</v>
      </c>
      <c r="B36" s="926"/>
      <c r="C36" s="926"/>
      <c r="D36" s="926"/>
      <c r="E36" s="926"/>
      <c r="F36" s="926"/>
      <c r="G36" s="926"/>
      <c r="H36" s="906"/>
      <c r="I36" s="907"/>
    </row>
    <row r="37" spans="1:9" x14ac:dyDescent="0.2">
      <c r="A37" s="775"/>
      <c r="B37" s="776"/>
      <c r="C37" s="776"/>
      <c r="D37" s="776"/>
      <c r="E37" s="776"/>
      <c r="F37" s="776"/>
      <c r="G37" s="776"/>
      <c r="H37" s="906"/>
      <c r="I37" s="907"/>
    </row>
    <row r="38" spans="1:9" x14ac:dyDescent="0.2">
      <c r="A38" s="73"/>
      <c r="B38" s="752" t="s">
        <v>555</v>
      </c>
      <c r="C38" s="781"/>
      <c r="D38" s="781"/>
      <c r="E38" s="781"/>
      <c r="F38" s="785"/>
      <c r="G38" s="943"/>
      <c r="H38" s="910"/>
      <c r="I38" s="911"/>
    </row>
    <row r="39" spans="1:9" x14ac:dyDescent="0.2">
      <c r="A39" s="678" t="s">
        <v>556</v>
      </c>
      <c r="B39" s="793"/>
      <c r="C39" s="793"/>
      <c r="D39" s="793"/>
      <c r="E39" s="793"/>
      <c r="F39" s="793"/>
      <c r="G39" s="793"/>
      <c r="H39" s="433"/>
      <c r="I39" s="443"/>
    </row>
    <row r="40" spans="1:9" x14ac:dyDescent="0.2">
      <c r="A40" s="68" t="s">
        <v>557</v>
      </c>
      <c r="B40" s="678" t="s">
        <v>572</v>
      </c>
      <c r="C40" s="793"/>
      <c r="D40" s="793"/>
      <c r="E40" s="793"/>
      <c r="F40" s="818"/>
      <c r="G40" s="311" t="s">
        <v>331</v>
      </c>
      <c r="H40" s="433"/>
      <c r="I40" s="401" t="s">
        <v>331</v>
      </c>
    </row>
    <row r="41" spans="1:9" x14ac:dyDescent="0.2">
      <c r="A41" s="68" t="s">
        <v>316</v>
      </c>
      <c r="B41" s="804" t="s">
        <v>559</v>
      </c>
      <c r="C41" s="679"/>
      <c r="D41" s="679"/>
      <c r="E41" s="680"/>
      <c r="F41" s="288">
        <v>8.3299999999999999E-2</v>
      </c>
      <c r="G41" s="319">
        <f>F41*G35</f>
        <v>184.82937200000001</v>
      </c>
      <c r="H41" s="434">
        <v>8.3299999999999999E-2</v>
      </c>
      <c r="I41" s="404">
        <f>H41*I35</f>
        <v>191.67330000000001</v>
      </c>
    </row>
    <row r="42" spans="1:9" x14ac:dyDescent="0.2">
      <c r="A42" s="68" t="s">
        <v>318</v>
      </c>
      <c r="B42" s="804" t="s">
        <v>607</v>
      </c>
      <c r="C42" s="679"/>
      <c r="D42" s="679"/>
      <c r="E42" s="680"/>
      <c r="F42" s="288">
        <f>8.33%+(8.33%*1/3)</f>
        <v>0.11106666666666666</v>
      </c>
      <c r="G42" s="319">
        <f>F42*G35</f>
        <v>246.43916266666668</v>
      </c>
      <c r="H42" s="434">
        <f>8.33%+(8.33%*1/3)</f>
        <v>0.11106666666666666</v>
      </c>
      <c r="I42" s="404">
        <f>H42*I35</f>
        <v>255.56439999999998</v>
      </c>
    </row>
    <row r="43" spans="1:9" x14ac:dyDescent="0.2">
      <c r="A43" s="73"/>
      <c r="B43" s="752" t="s">
        <v>352</v>
      </c>
      <c r="C43" s="781"/>
      <c r="D43" s="781"/>
      <c r="E43" s="788"/>
      <c r="F43" s="289">
        <f>SUM(F41:F42)</f>
        <v>0.19436666666666666</v>
      </c>
      <c r="G43" s="317">
        <f>SUM(G41:G42)</f>
        <v>431.26853466666671</v>
      </c>
      <c r="H43" s="438">
        <f>SUM(H41:H42)</f>
        <v>0.19436666666666666</v>
      </c>
      <c r="I43" s="403">
        <f>SUM(I41:I42)</f>
        <v>447.23770000000002</v>
      </c>
    </row>
    <row r="44" spans="1:9" ht="25.5" customHeight="1" x14ac:dyDescent="0.2">
      <c r="A44" s="845" t="s">
        <v>1028</v>
      </c>
      <c r="B44" s="846"/>
      <c r="C44" s="846"/>
      <c r="D44" s="846"/>
      <c r="E44" s="846"/>
      <c r="F44" s="846"/>
      <c r="G44" s="846"/>
      <c r="H44" s="433"/>
      <c r="I44" s="443"/>
    </row>
    <row r="45" spans="1:9" ht="14.25" customHeight="1" x14ac:dyDescent="0.2">
      <c r="A45" s="845" t="s">
        <v>1029</v>
      </c>
      <c r="B45" s="846"/>
      <c r="C45" s="846"/>
      <c r="D45" s="846"/>
      <c r="E45" s="846"/>
      <c r="F45" s="846"/>
      <c r="G45" s="846"/>
      <c r="H45" s="433"/>
      <c r="I45" s="443"/>
    </row>
    <row r="46" spans="1:9" ht="38.25" customHeight="1" x14ac:dyDescent="0.2">
      <c r="A46" s="950" t="s">
        <v>1030</v>
      </c>
      <c r="B46" s="950"/>
      <c r="C46" s="950"/>
      <c r="D46" s="950"/>
      <c r="E46" s="950"/>
      <c r="F46" s="950"/>
      <c r="G46" s="950"/>
      <c r="H46" s="433"/>
      <c r="I46" s="443"/>
    </row>
    <row r="47" spans="1:9" x14ac:dyDescent="0.2">
      <c r="A47" s="76"/>
      <c r="B47" s="77"/>
      <c r="C47" s="77"/>
      <c r="D47" s="77"/>
      <c r="E47" s="77"/>
      <c r="F47" s="290"/>
      <c r="G47" s="307"/>
      <c r="H47" s="439"/>
      <c r="I47" s="407"/>
    </row>
    <row r="48" spans="1:9" x14ac:dyDescent="0.2">
      <c r="A48" s="678" t="s">
        <v>560</v>
      </c>
      <c r="B48" s="793"/>
      <c r="C48" s="793"/>
      <c r="D48" s="793"/>
      <c r="E48" s="793"/>
      <c r="F48" s="793"/>
      <c r="G48" s="793"/>
      <c r="H48" s="433"/>
      <c r="I48" s="443"/>
    </row>
    <row r="49" spans="1:10" ht="24" x14ac:dyDescent="0.2">
      <c r="A49" s="68" t="s">
        <v>561</v>
      </c>
      <c r="B49" s="791" t="s">
        <v>562</v>
      </c>
      <c r="C49" s="776"/>
      <c r="D49" s="776"/>
      <c r="E49" s="893"/>
      <c r="F49" s="288" t="s">
        <v>563</v>
      </c>
      <c r="G49" s="311" t="s">
        <v>331</v>
      </c>
      <c r="H49" s="434" t="s">
        <v>563</v>
      </c>
      <c r="I49" s="401" t="s">
        <v>331</v>
      </c>
    </row>
    <row r="50" spans="1:10" x14ac:dyDescent="0.2">
      <c r="A50" s="68" t="s">
        <v>316</v>
      </c>
      <c r="B50" s="804" t="s">
        <v>342</v>
      </c>
      <c r="C50" s="679"/>
      <c r="D50" s="679"/>
      <c r="E50" s="680"/>
      <c r="F50" s="291"/>
      <c r="G50" s="321">
        <f>F50*(G35+G43+G117)</f>
        <v>0</v>
      </c>
      <c r="H50" s="434"/>
      <c r="I50" s="409">
        <f>H50*(I35+I43+I117)</f>
        <v>0</v>
      </c>
    </row>
    <row r="51" spans="1:10" x14ac:dyDescent="0.2">
      <c r="A51" s="68" t="s">
        <v>318</v>
      </c>
      <c r="B51" s="804" t="s">
        <v>564</v>
      </c>
      <c r="C51" s="679"/>
      <c r="D51" s="679"/>
      <c r="E51" s="680"/>
      <c r="F51" s="291">
        <v>2.5000000000000001E-2</v>
      </c>
      <c r="G51" s="321">
        <f>F51*(G35+G43+G117)</f>
        <v>68.014225788888893</v>
      </c>
      <c r="H51" s="434">
        <v>2.5000000000000001E-2</v>
      </c>
      <c r="I51" s="409">
        <f>H51*(I35+I43+I117)</f>
        <v>70.532680833333345</v>
      </c>
    </row>
    <row r="52" spans="1:10" x14ac:dyDescent="0.2">
      <c r="A52" s="68" t="s">
        <v>321</v>
      </c>
      <c r="B52" s="804" t="s">
        <v>565</v>
      </c>
      <c r="C52" s="679"/>
      <c r="D52" s="679"/>
      <c r="E52" s="680"/>
      <c r="F52" s="291">
        <v>2.7900000000000001E-2</v>
      </c>
      <c r="G52" s="321">
        <f>F52*(G35+G43+G117)</f>
        <v>75.903875980400002</v>
      </c>
      <c r="H52" s="196">
        <v>2.76E-2</v>
      </c>
      <c r="I52" s="506">
        <f>H52*(I35+I43+I117)</f>
        <v>77.868079640000005</v>
      </c>
      <c r="J52" s="504"/>
    </row>
    <row r="53" spans="1:10" x14ac:dyDescent="0.2">
      <c r="A53" s="68" t="s">
        <v>322</v>
      </c>
      <c r="B53" s="804" t="s">
        <v>566</v>
      </c>
      <c r="C53" s="679"/>
      <c r="D53" s="679"/>
      <c r="E53" s="680"/>
      <c r="F53" s="291">
        <v>1.4999999999999999E-2</v>
      </c>
      <c r="G53" s="321">
        <f>F53*(G35+G43+G117)</f>
        <v>40.808535473333336</v>
      </c>
      <c r="H53" s="434">
        <v>1.4999999999999999E-2</v>
      </c>
      <c r="I53" s="409">
        <f>H53*(I35+I43+I117)</f>
        <v>42.319608500000001</v>
      </c>
    </row>
    <row r="54" spans="1:10" x14ac:dyDescent="0.2">
      <c r="A54" s="68" t="s">
        <v>333</v>
      </c>
      <c r="B54" s="804" t="s">
        <v>343</v>
      </c>
      <c r="C54" s="679"/>
      <c r="D54" s="679"/>
      <c r="E54" s="680"/>
      <c r="F54" s="291">
        <v>0.01</v>
      </c>
      <c r="G54" s="321">
        <f>F54*(G35+G43+G117)</f>
        <v>27.205690315555557</v>
      </c>
      <c r="H54" s="434">
        <v>0.01</v>
      </c>
      <c r="I54" s="409">
        <f>H54*(I35+I43+I117)</f>
        <v>28.213072333333336</v>
      </c>
    </row>
    <row r="55" spans="1:10" x14ac:dyDescent="0.2">
      <c r="A55" s="68" t="s">
        <v>334</v>
      </c>
      <c r="B55" s="804" t="s">
        <v>346</v>
      </c>
      <c r="C55" s="679"/>
      <c r="D55" s="679"/>
      <c r="E55" s="680"/>
      <c r="F55" s="291">
        <v>6.0000000000000001E-3</v>
      </c>
      <c r="G55" s="321">
        <f>F55*(G35+G43+G117)</f>
        <v>16.323414189333334</v>
      </c>
      <c r="H55" s="434">
        <v>6.0000000000000001E-3</v>
      </c>
      <c r="I55" s="409">
        <f>H55*(I35+I43+I117)</f>
        <v>16.9278434</v>
      </c>
    </row>
    <row r="56" spans="1:10" x14ac:dyDescent="0.2">
      <c r="A56" s="68" t="s">
        <v>335</v>
      </c>
      <c r="B56" s="804" t="s">
        <v>344</v>
      </c>
      <c r="C56" s="679"/>
      <c r="D56" s="679"/>
      <c r="E56" s="680"/>
      <c r="F56" s="291">
        <v>2E-3</v>
      </c>
      <c r="G56" s="321">
        <f>F56*(G35+G43+G117)</f>
        <v>5.4411380631111115</v>
      </c>
      <c r="H56" s="434">
        <v>2E-3</v>
      </c>
      <c r="I56" s="409">
        <f>H56*(I35+I43+I117)</f>
        <v>5.6426144666666671</v>
      </c>
    </row>
    <row r="57" spans="1:10" x14ac:dyDescent="0.2">
      <c r="A57" s="68" t="s">
        <v>336</v>
      </c>
      <c r="B57" s="804" t="s">
        <v>345</v>
      </c>
      <c r="C57" s="679"/>
      <c r="D57" s="679"/>
      <c r="E57" s="680"/>
      <c r="F57" s="291">
        <v>0.08</v>
      </c>
      <c r="G57" s="321">
        <f>F57*(G35+G43+G117)</f>
        <v>217.64552252444446</v>
      </c>
      <c r="H57" s="434">
        <v>0.08</v>
      </c>
      <c r="I57" s="409">
        <f>H57*(I35+I43+I117)</f>
        <v>225.70457866666669</v>
      </c>
    </row>
    <row r="58" spans="1:10" x14ac:dyDescent="0.2">
      <c r="A58" s="73"/>
      <c r="B58" s="752" t="s">
        <v>352</v>
      </c>
      <c r="C58" s="781"/>
      <c r="D58" s="781"/>
      <c r="E58" s="788"/>
      <c r="F58" s="289">
        <f>SUM(F50:F57)</f>
        <v>0.16589999999999999</v>
      </c>
      <c r="G58" s="322">
        <f>SUM(G50:G57)</f>
        <v>451.34240233506671</v>
      </c>
      <c r="H58" s="438">
        <f>SUM(H50:H57)</f>
        <v>0.1656</v>
      </c>
      <c r="I58" s="410">
        <f>SUM(I50:I57)</f>
        <v>467.20847784</v>
      </c>
    </row>
    <row r="59" spans="1:10" ht="14.25" customHeight="1" x14ac:dyDescent="0.2">
      <c r="A59" s="845" t="s">
        <v>1031</v>
      </c>
      <c r="B59" s="846"/>
      <c r="C59" s="846"/>
      <c r="D59" s="846"/>
      <c r="E59" s="846"/>
      <c r="F59" s="846"/>
      <c r="G59" s="846"/>
      <c r="H59" s="906"/>
      <c r="I59" s="907"/>
    </row>
    <row r="60" spans="1:10" ht="16.5" customHeight="1" x14ac:dyDescent="0.2">
      <c r="A60" s="845" t="s">
        <v>1032</v>
      </c>
      <c r="B60" s="846"/>
      <c r="C60" s="846"/>
      <c r="D60" s="846"/>
      <c r="E60" s="846"/>
      <c r="F60" s="846"/>
      <c r="G60" s="846"/>
      <c r="H60" s="906"/>
      <c r="I60" s="907"/>
    </row>
    <row r="61" spans="1:10" ht="17.25" customHeight="1" x14ac:dyDescent="0.2">
      <c r="A61" s="948" t="s">
        <v>936</v>
      </c>
      <c r="B61" s="949"/>
      <c r="C61" s="949"/>
      <c r="D61" s="949"/>
      <c r="E61" s="949"/>
      <c r="F61" s="949"/>
      <c r="G61" s="949"/>
      <c r="H61" s="906"/>
      <c r="I61" s="907"/>
    </row>
    <row r="62" spans="1:10" x14ac:dyDescent="0.2">
      <c r="A62" s="78"/>
      <c r="B62" s="79"/>
      <c r="C62" s="77"/>
      <c r="D62" s="77"/>
      <c r="E62" s="77"/>
      <c r="F62" s="291"/>
      <c r="G62" s="312"/>
      <c r="H62" s="906"/>
      <c r="I62" s="907"/>
    </row>
    <row r="63" spans="1:10" x14ac:dyDescent="0.2">
      <c r="A63" s="678" t="s">
        <v>567</v>
      </c>
      <c r="B63" s="793"/>
      <c r="C63" s="793"/>
      <c r="D63" s="793"/>
      <c r="E63" s="793"/>
      <c r="F63" s="793"/>
      <c r="G63" s="793"/>
      <c r="H63" s="906"/>
      <c r="I63" s="907"/>
    </row>
    <row r="64" spans="1:10" x14ac:dyDescent="0.2">
      <c r="A64" s="68" t="s">
        <v>568</v>
      </c>
      <c r="B64" s="820" t="s">
        <v>569</v>
      </c>
      <c r="C64" s="820"/>
      <c r="D64" s="820"/>
      <c r="E64" s="820"/>
      <c r="F64" s="820"/>
      <c r="G64" s="311" t="s">
        <v>331</v>
      </c>
      <c r="H64" s="433"/>
      <c r="I64" s="401" t="s">
        <v>331</v>
      </c>
    </row>
    <row r="65" spans="1:9" ht="35.25" customHeight="1" x14ac:dyDescent="0.2">
      <c r="A65" s="68" t="s">
        <v>316</v>
      </c>
      <c r="B65" s="804" t="s">
        <v>1020</v>
      </c>
      <c r="C65" s="679"/>
      <c r="D65" s="679"/>
      <c r="E65" s="679"/>
      <c r="F65" s="680"/>
      <c r="G65" s="319">
        <f>((5+2.5)*2*21.5)-6%*G29</f>
        <v>220.09200000000001</v>
      </c>
      <c r="H65" s="433"/>
      <c r="I65" s="404">
        <f>((5+2.5)*2*21.5)-6%*I29</f>
        <v>216.3</v>
      </c>
    </row>
    <row r="66" spans="1:9" ht="27.75" customHeight="1" x14ac:dyDescent="0.2">
      <c r="A66" s="68" t="s">
        <v>318</v>
      </c>
      <c r="B66" s="804" t="s">
        <v>1021</v>
      </c>
      <c r="C66" s="679"/>
      <c r="D66" s="679"/>
      <c r="E66" s="679"/>
      <c r="F66" s="680"/>
      <c r="G66" s="319">
        <f>31.5*21.5</f>
        <v>677.25</v>
      </c>
      <c r="H66" s="433"/>
      <c r="I66" s="404">
        <f>32.7*21.5</f>
        <v>703.05000000000007</v>
      </c>
    </row>
    <row r="67" spans="1:9" x14ac:dyDescent="0.2">
      <c r="A67" s="68" t="s">
        <v>321</v>
      </c>
      <c r="B67" s="804" t="s">
        <v>963</v>
      </c>
      <c r="C67" s="679"/>
      <c r="D67" s="679"/>
      <c r="E67" s="679"/>
      <c r="F67" s="680"/>
      <c r="G67" s="319">
        <v>0</v>
      </c>
      <c r="H67" s="433"/>
      <c r="I67" s="404">
        <v>0</v>
      </c>
    </row>
    <row r="68" spans="1:9" x14ac:dyDescent="0.2">
      <c r="A68" s="68" t="s">
        <v>322</v>
      </c>
      <c r="B68" s="678" t="s">
        <v>930</v>
      </c>
      <c r="C68" s="679"/>
      <c r="D68" s="679"/>
      <c r="E68" s="679"/>
      <c r="F68" s="680"/>
      <c r="G68" s="319">
        <v>0</v>
      </c>
      <c r="H68" s="433"/>
      <c r="I68" s="404">
        <v>0</v>
      </c>
    </row>
    <row r="69" spans="1:9" x14ac:dyDescent="0.2">
      <c r="A69" s="68" t="s">
        <v>333</v>
      </c>
      <c r="B69" s="678" t="s">
        <v>933</v>
      </c>
      <c r="C69" s="793"/>
      <c r="D69" s="793"/>
      <c r="E69" s="793"/>
      <c r="F69" s="818"/>
      <c r="G69" s="319"/>
      <c r="H69" s="433"/>
      <c r="I69" s="404"/>
    </row>
    <row r="70" spans="1:9" x14ac:dyDescent="0.2">
      <c r="A70" s="68" t="s">
        <v>334</v>
      </c>
      <c r="B70" s="678" t="s">
        <v>932</v>
      </c>
      <c r="C70" s="679"/>
      <c r="D70" s="679"/>
      <c r="E70" s="679"/>
      <c r="F70" s="680"/>
      <c r="G70" s="319">
        <v>0</v>
      </c>
      <c r="H70" s="433"/>
      <c r="I70" s="404">
        <v>10.65</v>
      </c>
    </row>
    <row r="71" spans="1:9" x14ac:dyDescent="0.2">
      <c r="A71" s="68" t="s">
        <v>335</v>
      </c>
      <c r="B71" s="678" t="s">
        <v>931</v>
      </c>
      <c r="C71" s="679"/>
      <c r="D71" s="679"/>
      <c r="E71" s="679"/>
      <c r="F71" s="680"/>
      <c r="G71" s="319">
        <v>0</v>
      </c>
      <c r="H71" s="433"/>
      <c r="I71" s="404">
        <v>0</v>
      </c>
    </row>
    <row r="72" spans="1:9" x14ac:dyDescent="0.2">
      <c r="A72" s="71"/>
      <c r="B72" s="752" t="s">
        <v>352</v>
      </c>
      <c r="C72" s="781"/>
      <c r="D72" s="781"/>
      <c r="E72" s="781"/>
      <c r="F72" s="788"/>
      <c r="G72" s="317">
        <f>SUM(G65:G70)</f>
        <v>897.34199999999998</v>
      </c>
      <c r="H72" s="440"/>
      <c r="I72" s="403">
        <f>SUM(I65:I70)</f>
        <v>930.00000000000011</v>
      </c>
    </row>
    <row r="73" spans="1:9" ht="16.5" customHeight="1" x14ac:dyDescent="0.2">
      <c r="A73" s="845" t="s">
        <v>1033</v>
      </c>
      <c r="B73" s="846"/>
      <c r="C73" s="846"/>
      <c r="D73" s="846"/>
      <c r="E73" s="846"/>
      <c r="F73" s="846"/>
      <c r="G73" s="846"/>
      <c r="H73" s="906"/>
      <c r="I73" s="907"/>
    </row>
    <row r="74" spans="1:9" ht="24" customHeight="1" x14ac:dyDescent="0.2">
      <c r="A74" s="845" t="s">
        <v>1034</v>
      </c>
      <c r="B74" s="846"/>
      <c r="C74" s="846"/>
      <c r="D74" s="846"/>
      <c r="E74" s="846"/>
      <c r="F74" s="846"/>
      <c r="G74" s="846"/>
      <c r="H74" s="906"/>
      <c r="I74" s="907"/>
    </row>
    <row r="75" spans="1:9" x14ac:dyDescent="0.2">
      <c r="A75" s="76"/>
      <c r="B75" s="77"/>
      <c r="C75" s="77"/>
      <c r="D75" s="77"/>
      <c r="E75" s="77"/>
      <c r="F75" s="290"/>
      <c r="G75" s="307"/>
      <c r="H75" s="906"/>
      <c r="I75" s="907"/>
    </row>
    <row r="76" spans="1:9" x14ac:dyDescent="0.2">
      <c r="A76" s="73"/>
      <c r="B76" s="752" t="s">
        <v>892</v>
      </c>
      <c r="C76" s="781"/>
      <c r="D76" s="781"/>
      <c r="E76" s="781"/>
      <c r="F76" s="781"/>
      <c r="G76" s="320"/>
      <c r="H76" s="908"/>
      <c r="I76" s="909"/>
    </row>
    <row r="77" spans="1:9" x14ac:dyDescent="0.2">
      <c r="A77" s="68">
        <v>2</v>
      </c>
      <c r="B77" s="820" t="s">
        <v>571</v>
      </c>
      <c r="C77" s="820"/>
      <c r="D77" s="820"/>
      <c r="E77" s="820"/>
      <c r="F77" s="820"/>
      <c r="G77" s="311" t="s">
        <v>331</v>
      </c>
      <c r="H77" s="433"/>
      <c r="I77" s="401" t="s">
        <v>331</v>
      </c>
    </row>
    <row r="78" spans="1:9" x14ac:dyDescent="0.2">
      <c r="A78" s="68" t="s">
        <v>557</v>
      </c>
      <c r="B78" s="819" t="s">
        <v>572</v>
      </c>
      <c r="C78" s="819"/>
      <c r="D78" s="819"/>
      <c r="E78" s="819"/>
      <c r="F78" s="819"/>
      <c r="G78" s="319">
        <f>G43</f>
        <v>431.26853466666671</v>
      </c>
      <c r="H78" s="433"/>
      <c r="I78" s="404">
        <f>I43</f>
        <v>447.23770000000002</v>
      </c>
    </row>
    <row r="79" spans="1:9" x14ac:dyDescent="0.2">
      <c r="A79" s="68" t="s">
        <v>561</v>
      </c>
      <c r="B79" s="819" t="s">
        <v>562</v>
      </c>
      <c r="C79" s="819"/>
      <c r="D79" s="819"/>
      <c r="E79" s="819"/>
      <c r="F79" s="819"/>
      <c r="G79" s="319">
        <f>G58</f>
        <v>451.34240233506671</v>
      </c>
      <c r="H79" s="433"/>
      <c r="I79" s="404">
        <f>I58</f>
        <v>467.20847784</v>
      </c>
    </row>
    <row r="80" spans="1:9" x14ac:dyDescent="0.2">
      <c r="A80" s="68" t="s">
        <v>568</v>
      </c>
      <c r="B80" s="819" t="s">
        <v>569</v>
      </c>
      <c r="C80" s="819"/>
      <c r="D80" s="819"/>
      <c r="E80" s="819"/>
      <c r="F80" s="819"/>
      <c r="G80" s="319">
        <f>G72</f>
        <v>897.34199999999998</v>
      </c>
      <c r="H80" s="433"/>
      <c r="I80" s="404">
        <f>I72</f>
        <v>930.00000000000011</v>
      </c>
    </row>
    <row r="81" spans="1:9" x14ac:dyDescent="0.2">
      <c r="A81" s="134"/>
      <c r="B81" s="756" t="s">
        <v>352</v>
      </c>
      <c r="C81" s="840"/>
      <c r="D81" s="840"/>
      <c r="E81" s="840"/>
      <c r="F81" s="841"/>
      <c r="G81" s="317">
        <f>SUM(G78:G80)</f>
        <v>1779.9529370017335</v>
      </c>
      <c r="H81" s="433"/>
      <c r="I81" s="403">
        <f>SUM(I78:I80)</f>
        <v>1844.44617784</v>
      </c>
    </row>
    <row r="82" spans="1:9" x14ac:dyDescent="0.2">
      <c r="A82" s="838"/>
      <c r="B82" s="839"/>
      <c r="C82" s="839"/>
      <c r="D82" s="839"/>
      <c r="E82" s="839"/>
      <c r="F82" s="839"/>
      <c r="G82" s="839"/>
      <c r="H82" s="906"/>
      <c r="I82" s="907"/>
    </row>
    <row r="83" spans="1:9" x14ac:dyDescent="0.2">
      <c r="A83" s="769" t="s">
        <v>885</v>
      </c>
      <c r="B83" s="769"/>
      <c r="C83" s="769"/>
      <c r="D83" s="769"/>
      <c r="E83" s="769"/>
      <c r="F83" s="769"/>
      <c r="G83" s="752"/>
      <c r="H83" s="908"/>
      <c r="I83" s="909"/>
    </row>
    <row r="84" spans="1:9" ht="24" x14ac:dyDescent="0.2">
      <c r="A84" s="68">
        <v>3</v>
      </c>
      <c r="B84" s="791" t="s">
        <v>348</v>
      </c>
      <c r="C84" s="792"/>
      <c r="D84" s="792"/>
      <c r="E84" s="809"/>
      <c r="F84" s="288" t="s">
        <v>563</v>
      </c>
      <c r="G84" s="311" t="s">
        <v>331</v>
      </c>
      <c r="H84" s="434" t="s">
        <v>563</v>
      </c>
      <c r="I84" s="401" t="s">
        <v>331</v>
      </c>
    </row>
    <row r="85" spans="1:9" x14ac:dyDescent="0.2">
      <c r="A85" s="78" t="s">
        <v>316</v>
      </c>
      <c r="B85" s="804" t="s">
        <v>993</v>
      </c>
      <c r="C85" s="679"/>
      <c r="D85" s="679"/>
      <c r="E85" s="680"/>
      <c r="F85" s="292">
        <v>4.1700000000000001E-3</v>
      </c>
      <c r="G85" s="319">
        <f>F85*(G35+G43)</f>
        <v>11.050952589560001</v>
      </c>
      <c r="H85" s="441">
        <v>4.1700000000000001E-3</v>
      </c>
      <c r="I85" s="404">
        <f>H85*(I35+I43)</f>
        <v>11.460151209000001</v>
      </c>
    </row>
    <row r="86" spans="1:9" x14ac:dyDescent="0.2">
      <c r="A86" s="78" t="s">
        <v>318</v>
      </c>
      <c r="B86" s="804" t="s">
        <v>976</v>
      </c>
      <c r="C86" s="679"/>
      <c r="D86" s="679"/>
      <c r="E86" s="680"/>
      <c r="F86" s="292">
        <f>F57*F85</f>
        <v>3.3360000000000003E-4</v>
      </c>
      <c r="G86" s="319">
        <f>F86*(G35+G43)</f>
        <v>0.88407620716480018</v>
      </c>
      <c r="H86" s="441">
        <f>H57*H85</f>
        <v>3.3360000000000003E-4</v>
      </c>
      <c r="I86" s="404">
        <f>H86*(I35+I43)</f>
        <v>0.91681209672000008</v>
      </c>
    </row>
    <row r="87" spans="1:9" ht="34.5" customHeight="1" x14ac:dyDescent="0.2">
      <c r="A87" s="68" t="s">
        <v>321</v>
      </c>
      <c r="B87" s="804" t="s">
        <v>1101</v>
      </c>
      <c r="C87" s="679"/>
      <c r="D87" s="679"/>
      <c r="E87" s="680"/>
      <c r="F87" s="292">
        <f xml:space="preserve"> (40%+10%)*F85</f>
        <v>2.085E-3</v>
      </c>
      <c r="G87" s="319">
        <f>F87*(G35+G43)</f>
        <v>5.5254762947800007</v>
      </c>
      <c r="H87" s="441">
        <f xml:space="preserve"> (40%+10%)*H85</f>
        <v>2.085E-3</v>
      </c>
      <c r="I87" s="404">
        <f>H87*(I35+I43)</f>
        <v>5.7300756045000005</v>
      </c>
    </row>
    <row r="88" spans="1:9" ht="23.25" customHeight="1" x14ac:dyDescent="0.2">
      <c r="A88" s="68" t="s">
        <v>322</v>
      </c>
      <c r="B88" s="804" t="s">
        <v>1100</v>
      </c>
      <c r="C88" s="679"/>
      <c r="D88" s="679"/>
      <c r="E88" s="680"/>
      <c r="F88" s="292">
        <f>(7/30)/12</f>
        <v>1.9444444444444445E-2</v>
      </c>
      <c r="G88" s="319">
        <f>F88*(G35+G43)</f>
        <v>51.529888174074081</v>
      </c>
      <c r="H88" s="441">
        <f>(7/30)/12</f>
        <v>1.9444444444444445E-2</v>
      </c>
      <c r="I88" s="404">
        <f>H88*(I35+I43)</f>
        <v>53.437955277777782</v>
      </c>
    </row>
    <row r="89" spans="1:9" ht="27" customHeight="1" x14ac:dyDescent="0.2">
      <c r="A89" s="69" t="s">
        <v>333</v>
      </c>
      <c r="B89" s="804" t="s">
        <v>1026</v>
      </c>
      <c r="C89" s="679"/>
      <c r="D89" s="679"/>
      <c r="E89" s="680"/>
      <c r="F89" s="292">
        <f>F58*F88</f>
        <v>3.2258333333333332E-3</v>
      </c>
      <c r="G89" s="319">
        <f>F89*($G$35+$G$43)</f>
        <v>8.5488084480788888</v>
      </c>
      <c r="H89" s="441">
        <f>H58*H88</f>
        <v>3.2200000000000002E-3</v>
      </c>
      <c r="I89" s="404">
        <f>H89*($I$35+$I$43)</f>
        <v>8.849325394000001</v>
      </c>
    </row>
    <row r="90" spans="1:9" ht="27" customHeight="1" x14ac:dyDescent="0.2">
      <c r="A90" s="68" t="s">
        <v>334</v>
      </c>
      <c r="B90" s="804" t="s">
        <v>1027</v>
      </c>
      <c r="C90" s="679"/>
      <c r="D90" s="679"/>
      <c r="E90" s="680"/>
      <c r="F90" s="288">
        <f>50%*F88</f>
        <v>9.7222222222222224E-3</v>
      </c>
      <c r="G90" s="319">
        <f>F90*($G$35+$G$43)</f>
        <v>25.764944087037041</v>
      </c>
      <c r="H90" s="434">
        <f>50%*H88</f>
        <v>9.7222222222222224E-3</v>
      </c>
      <c r="I90" s="404">
        <f>H90*($I$35+$I$43)</f>
        <v>26.718977638888891</v>
      </c>
    </row>
    <row r="91" spans="1:9" x14ac:dyDescent="0.2">
      <c r="A91" s="73"/>
      <c r="B91" s="752" t="s">
        <v>352</v>
      </c>
      <c r="C91" s="781"/>
      <c r="D91" s="781"/>
      <c r="E91" s="788"/>
      <c r="F91" s="289">
        <f>SUM(F85:F90)</f>
        <v>3.8981100000000005E-2</v>
      </c>
      <c r="G91" s="317">
        <f>SUM(G85:G90)</f>
        <v>103.30414580069481</v>
      </c>
      <c r="H91" s="438">
        <f>SUM(H85:H90)</f>
        <v>3.8975266666666668E-2</v>
      </c>
      <c r="I91" s="403">
        <f>SUM(I85:I90)</f>
        <v>107.11329722088668</v>
      </c>
    </row>
    <row r="92" spans="1:9" x14ac:dyDescent="0.2">
      <c r="A92" s="83"/>
      <c r="B92" s="84"/>
      <c r="C92" s="84"/>
      <c r="D92" s="84"/>
      <c r="E92" s="84"/>
      <c r="F92" s="293"/>
      <c r="G92" s="315"/>
      <c r="H92" s="944"/>
      <c r="I92" s="945"/>
    </row>
    <row r="93" spans="1:9" x14ac:dyDescent="0.2">
      <c r="A93" s="73"/>
      <c r="B93" s="752" t="s">
        <v>886</v>
      </c>
      <c r="C93" s="781"/>
      <c r="D93" s="781"/>
      <c r="E93" s="781"/>
      <c r="F93" s="785"/>
      <c r="G93" s="943"/>
      <c r="H93" s="910"/>
      <c r="I93" s="911"/>
    </row>
    <row r="94" spans="1:9" ht="20.25" customHeight="1" x14ac:dyDescent="0.2">
      <c r="A94" s="808" t="s">
        <v>1107</v>
      </c>
      <c r="B94" s="790"/>
      <c r="C94" s="790"/>
      <c r="D94" s="790"/>
      <c r="E94" s="790"/>
      <c r="F94" s="790"/>
      <c r="G94" s="790"/>
      <c r="H94" s="906"/>
      <c r="I94" s="907"/>
    </row>
    <row r="95" spans="1:9" x14ac:dyDescent="0.2">
      <c r="A95" s="775"/>
      <c r="B95" s="776"/>
      <c r="C95" s="776"/>
      <c r="D95" s="776"/>
      <c r="E95" s="776"/>
      <c r="F95" s="776"/>
      <c r="G95" s="776"/>
      <c r="H95" s="906"/>
      <c r="I95" s="907"/>
    </row>
    <row r="96" spans="1:9" x14ac:dyDescent="0.2">
      <c r="A96" s="678" t="s">
        <v>902</v>
      </c>
      <c r="B96" s="793"/>
      <c r="C96" s="793"/>
      <c r="D96" s="793"/>
      <c r="E96" s="793"/>
      <c r="F96" s="793"/>
      <c r="G96" s="793"/>
      <c r="H96" s="906"/>
      <c r="I96" s="907"/>
    </row>
    <row r="97" spans="1:9" ht="24" x14ac:dyDescent="0.2">
      <c r="A97" s="78" t="s">
        <v>340</v>
      </c>
      <c r="B97" s="791" t="s">
        <v>908</v>
      </c>
      <c r="C97" s="792"/>
      <c r="D97" s="792"/>
      <c r="E97" s="809"/>
      <c r="F97" s="288" t="s">
        <v>563</v>
      </c>
      <c r="G97" s="311" t="s">
        <v>331</v>
      </c>
      <c r="H97" s="434" t="s">
        <v>563</v>
      </c>
      <c r="I97" s="401" t="s">
        <v>331</v>
      </c>
    </row>
    <row r="98" spans="1:9" x14ac:dyDescent="0.2">
      <c r="A98" s="68" t="s">
        <v>316</v>
      </c>
      <c r="B98" s="804" t="s">
        <v>904</v>
      </c>
      <c r="C98" s="679"/>
      <c r="D98" s="679"/>
      <c r="E98" s="679"/>
      <c r="F98" s="288">
        <f>(8.33%+(8.33%*1/3))/12</f>
        <v>9.2555555555555551E-3</v>
      </c>
      <c r="G98" s="319">
        <f>F98*G35</f>
        <v>20.536596888888891</v>
      </c>
      <c r="H98" s="434">
        <f>(8.33%+(8.33%*1/3))/12</f>
        <v>9.2555555555555551E-3</v>
      </c>
      <c r="I98" s="404">
        <f>H98*I35</f>
        <v>21.297033333333331</v>
      </c>
    </row>
    <row r="99" spans="1:9" x14ac:dyDescent="0.2">
      <c r="A99" s="68" t="s">
        <v>318</v>
      </c>
      <c r="B99" s="804" t="s">
        <v>980</v>
      </c>
      <c r="C99" s="679"/>
      <c r="D99" s="679"/>
      <c r="E99" s="679"/>
      <c r="F99" s="288">
        <f>(1/12)/30</f>
        <v>2.7777777777777775E-3</v>
      </c>
      <c r="G99" s="319">
        <f>F99*G35</f>
        <v>6.1634444444444441</v>
      </c>
      <c r="H99" s="434">
        <f>(1/12)/30</f>
        <v>2.7777777777777775E-3</v>
      </c>
      <c r="I99" s="404">
        <f>H99*I35</f>
        <v>6.3916666666666657</v>
      </c>
    </row>
    <row r="100" spans="1:9" x14ac:dyDescent="0.2">
      <c r="A100" s="68" t="s">
        <v>321</v>
      </c>
      <c r="B100" s="804" t="s">
        <v>981</v>
      </c>
      <c r="C100" s="679"/>
      <c r="D100" s="679"/>
      <c r="E100" s="679"/>
      <c r="F100" s="294">
        <f>1.5%/12</f>
        <v>1.25E-3</v>
      </c>
      <c r="G100" s="319">
        <f>F100*G35</f>
        <v>2.7735500000000002</v>
      </c>
      <c r="H100" s="441">
        <f>1.5%/12</f>
        <v>1.25E-3</v>
      </c>
      <c r="I100" s="404">
        <f>H100*I35</f>
        <v>2.8762500000000002</v>
      </c>
    </row>
    <row r="101" spans="1:9" x14ac:dyDescent="0.2">
      <c r="A101" s="68" t="s">
        <v>322</v>
      </c>
      <c r="B101" s="804" t="s">
        <v>986</v>
      </c>
      <c r="C101" s="679"/>
      <c r="D101" s="679"/>
      <c r="E101" s="679"/>
      <c r="F101" s="292">
        <f>8%/12/2</f>
        <v>3.3333333333333335E-3</v>
      </c>
      <c r="G101" s="319">
        <f>F101*G35</f>
        <v>7.3961333333333341</v>
      </c>
      <c r="H101" s="441">
        <f>8%/12/2</f>
        <v>3.3333333333333335E-3</v>
      </c>
      <c r="I101" s="404">
        <f>H101*I35</f>
        <v>7.6700000000000008</v>
      </c>
    </row>
    <row r="102" spans="1:9" x14ac:dyDescent="0.2">
      <c r="A102" s="68" t="s">
        <v>333</v>
      </c>
      <c r="B102" s="804" t="s">
        <v>983</v>
      </c>
      <c r="C102" s="679"/>
      <c r="D102" s="679"/>
      <c r="E102" s="679"/>
      <c r="F102" s="295">
        <f>1.5%/12</f>
        <v>1.25E-3</v>
      </c>
      <c r="G102" s="319">
        <f>F102*G35</f>
        <v>2.7735500000000002</v>
      </c>
      <c r="H102" s="442">
        <f>1.5%/12</f>
        <v>1.25E-3</v>
      </c>
      <c r="I102" s="404">
        <f>H102*I35</f>
        <v>2.8762500000000002</v>
      </c>
    </row>
    <row r="103" spans="1:9" x14ac:dyDescent="0.2">
      <c r="A103" s="68" t="s">
        <v>334</v>
      </c>
      <c r="B103" s="804" t="s">
        <v>907</v>
      </c>
      <c r="C103" s="679"/>
      <c r="D103" s="679"/>
      <c r="E103" s="679"/>
      <c r="F103" s="288">
        <f>(5/12)/30</f>
        <v>1.388888888888889E-2</v>
      </c>
      <c r="G103" s="319">
        <f>F103*G35</f>
        <v>30.817222222222227</v>
      </c>
      <c r="H103" s="434">
        <f>(5/12)/30</f>
        <v>1.388888888888889E-2</v>
      </c>
      <c r="I103" s="404">
        <f>H103*I35</f>
        <v>31.958333333333336</v>
      </c>
    </row>
    <row r="104" spans="1:9" x14ac:dyDescent="0.2">
      <c r="A104" s="73"/>
      <c r="B104" s="752" t="s">
        <v>352</v>
      </c>
      <c r="C104" s="781"/>
      <c r="D104" s="781"/>
      <c r="E104" s="788"/>
      <c r="F104" s="289">
        <f>SUM(F98:F103)</f>
        <v>3.1755555555555558E-2</v>
      </c>
      <c r="G104" s="317">
        <f>SUM(G98:G103)</f>
        <v>70.460496888888898</v>
      </c>
      <c r="H104" s="438">
        <f>SUM(H98:H103)</f>
        <v>3.1755555555555558E-2</v>
      </c>
      <c r="I104" s="403">
        <f>SUM(I98:I103)</f>
        <v>73.069533333333339</v>
      </c>
    </row>
    <row r="105" spans="1:9" ht="24" customHeight="1" x14ac:dyDescent="0.2">
      <c r="A105" s="789" t="s">
        <v>1118</v>
      </c>
      <c r="B105" s="790"/>
      <c r="C105" s="790"/>
      <c r="D105" s="790"/>
      <c r="E105" s="790"/>
      <c r="F105" s="790"/>
      <c r="G105" s="790"/>
      <c r="H105" s="938"/>
      <c r="I105" s="939"/>
    </row>
    <row r="106" spans="1:9" x14ac:dyDescent="0.2">
      <c r="A106" s="678"/>
      <c r="B106" s="793"/>
      <c r="C106" s="793"/>
      <c r="D106" s="793"/>
      <c r="E106" s="793"/>
      <c r="F106" s="793"/>
      <c r="G106" s="793"/>
      <c r="H106" s="938"/>
      <c r="I106" s="939"/>
    </row>
    <row r="107" spans="1:9" x14ac:dyDescent="0.2">
      <c r="A107" s="678" t="s">
        <v>911</v>
      </c>
      <c r="B107" s="793"/>
      <c r="C107" s="793"/>
      <c r="D107" s="793"/>
      <c r="E107" s="793"/>
      <c r="F107" s="793"/>
      <c r="G107" s="793"/>
      <c r="H107" s="938"/>
      <c r="I107" s="939"/>
    </row>
    <row r="108" spans="1:9" ht="24" x14ac:dyDescent="0.2">
      <c r="A108" s="68" t="s">
        <v>347</v>
      </c>
      <c r="B108" s="791" t="s">
        <v>912</v>
      </c>
      <c r="C108" s="792"/>
      <c r="D108" s="792"/>
      <c r="E108" s="809"/>
      <c r="F108" s="288" t="s">
        <v>563</v>
      </c>
      <c r="G108" s="311" t="s">
        <v>331</v>
      </c>
      <c r="H108" s="434" t="s">
        <v>563</v>
      </c>
      <c r="I108" s="401" t="s">
        <v>331</v>
      </c>
    </row>
    <row r="109" spans="1:9" x14ac:dyDescent="0.2">
      <c r="A109" s="68" t="s">
        <v>316</v>
      </c>
      <c r="B109" s="804" t="s">
        <v>913</v>
      </c>
      <c r="C109" s="679"/>
      <c r="D109" s="679"/>
      <c r="E109" s="680"/>
      <c r="F109" s="940"/>
      <c r="G109" s="941"/>
      <c r="H109" s="914"/>
      <c r="I109" s="915"/>
    </row>
    <row r="110" spans="1:9" x14ac:dyDescent="0.2">
      <c r="A110" s="73"/>
      <c r="B110" s="752" t="s">
        <v>352</v>
      </c>
      <c r="C110" s="781"/>
      <c r="D110" s="781"/>
      <c r="E110" s="788"/>
      <c r="F110" s="912"/>
      <c r="G110" s="942"/>
      <c r="H110" s="916"/>
      <c r="I110" s="917"/>
    </row>
    <row r="111" spans="1:9" ht="26.25" customHeight="1" x14ac:dyDescent="0.2">
      <c r="A111" s="845" t="s">
        <v>1038</v>
      </c>
      <c r="B111" s="846"/>
      <c r="C111" s="846"/>
      <c r="D111" s="846"/>
      <c r="E111" s="846"/>
      <c r="F111" s="846"/>
      <c r="G111" s="846"/>
      <c r="H111" s="906"/>
      <c r="I111" s="907"/>
    </row>
    <row r="112" spans="1:9" x14ac:dyDescent="0.2">
      <c r="A112" s="775"/>
      <c r="B112" s="776"/>
      <c r="C112" s="776"/>
      <c r="D112" s="776"/>
      <c r="E112" s="776"/>
      <c r="F112" s="776"/>
      <c r="G112" s="776"/>
      <c r="H112" s="906"/>
      <c r="I112" s="907"/>
    </row>
    <row r="113" spans="1:9" x14ac:dyDescent="0.2">
      <c r="A113" s="73"/>
      <c r="B113" s="752" t="s">
        <v>887</v>
      </c>
      <c r="C113" s="781"/>
      <c r="D113" s="781"/>
      <c r="E113" s="781"/>
      <c r="F113" s="785"/>
      <c r="G113" s="943"/>
      <c r="H113" s="910"/>
      <c r="I113" s="911"/>
    </row>
    <row r="114" spans="1:9" ht="24" x14ac:dyDescent="0.2">
      <c r="A114" s="68">
        <v>4</v>
      </c>
      <c r="B114" s="791" t="s">
        <v>574</v>
      </c>
      <c r="C114" s="792"/>
      <c r="D114" s="792"/>
      <c r="E114" s="809"/>
      <c r="F114" s="288" t="s">
        <v>563</v>
      </c>
      <c r="G114" s="311" t="s">
        <v>331</v>
      </c>
      <c r="H114" s="434" t="s">
        <v>563</v>
      </c>
      <c r="I114" s="401" t="s">
        <v>331</v>
      </c>
    </row>
    <row r="115" spans="1:9" x14ac:dyDescent="0.2">
      <c r="A115" s="68" t="s">
        <v>340</v>
      </c>
      <c r="B115" s="819" t="s">
        <v>908</v>
      </c>
      <c r="C115" s="819"/>
      <c r="D115" s="819"/>
      <c r="E115" s="819"/>
      <c r="F115" s="288">
        <f>F104</f>
        <v>3.1755555555555558E-2</v>
      </c>
      <c r="G115" s="321">
        <f>G104</f>
        <v>70.460496888888898</v>
      </c>
      <c r="H115" s="434">
        <f>H104</f>
        <v>3.1755555555555558E-2</v>
      </c>
      <c r="I115" s="409">
        <f>I104</f>
        <v>73.069533333333339</v>
      </c>
    </row>
    <row r="116" spans="1:9" x14ac:dyDescent="0.2">
      <c r="A116" s="68" t="s">
        <v>347</v>
      </c>
      <c r="B116" s="819" t="s">
        <v>912</v>
      </c>
      <c r="C116" s="819"/>
      <c r="D116" s="819"/>
      <c r="E116" s="819"/>
      <c r="F116" s="288"/>
      <c r="G116" s="325"/>
      <c r="H116" s="434"/>
      <c r="I116" s="415"/>
    </row>
    <row r="117" spans="1:9" x14ac:dyDescent="0.2">
      <c r="A117" s="73"/>
      <c r="B117" s="752" t="s">
        <v>352</v>
      </c>
      <c r="C117" s="781"/>
      <c r="D117" s="781"/>
      <c r="E117" s="788"/>
      <c r="F117" s="289"/>
      <c r="G117" s="317">
        <f>SUM(G115:G116)</f>
        <v>70.460496888888898</v>
      </c>
      <c r="H117" s="438"/>
      <c r="I117" s="403">
        <f>SUM(I115:I116)</f>
        <v>73.069533333333339</v>
      </c>
    </row>
    <row r="118" spans="1:9" x14ac:dyDescent="0.2">
      <c r="A118" s="78"/>
      <c r="B118" s="86"/>
      <c r="C118" s="86"/>
      <c r="D118" s="86"/>
      <c r="E118" s="86"/>
      <c r="F118" s="291"/>
      <c r="G118" s="326"/>
      <c r="H118" s="918"/>
      <c r="I118" s="919"/>
    </row>
    <row r="119" spans="1:9" x14ac:dyDescent="0.2">
      <c r="A119" s="752" t="s">
        <v>888</v>
      </c>
      <c r="B119" s="781"/>
      <c r="C119" s="781"/>
      <c r="D119" s="781"/>
      <c r="E119" s="781"/>
      <c r="F119" s="781"/>
      <c r="G119" s="781"/>
      <c r="H119" s="908"/>
      <c r="I119" s="909"/>
    </row>
    <row r="120" spans="1:9" x14ac:dyDescent="0.2">
      <c r="A120" s="68">
        <v>5</v>
      </c>
      <c r="B120" s="678" t="s">
        <v>338</v>
      </c>
      <c r="C120" s="793"/>
      <c r="D120" s="793"/>
      <c r="E120" s="793"/>
      <c r="F120" s="818"/>
      <c r="G120" s="311" t="s">
        <v>331</v>
      </c>
      <c r="H120" s="433"/>
      <c r="I120" s="401" t="s">
        <v>331</v>
      </c>
    </row>
    <row r="121" spans="1:9" x14ac:dyDescent="0.2">
      <c r="A121" s="68" t="s">
        <v>316</v>
      </c>
      <c r="B121" s="804" t="s">
        <v>339</v>
      </c>
      <c r="C121" s="679"/>
      <c r="D121" s="679"/>
      <c r="E121" s="679"/>
      <c r="F121" s="680"/>
      <c r="G121" s="327">
        <f>Uniformes!J23</f>
        <v>55.335000000000008</v>
      </c>
      <c r="H121" s="433"/>
      <c r="I121" s="414">
        <f>Uniformes!J23</f>
        <v>55.335000000000008</v>
      </c>
    </row>
    <row r="122" spans="1:9" x14ac:dyDescent="0.2">
      <c r="A122" s="68" t="s">
        <v>318</v>
      </c>
      <c r="B122" s="804" t="s">
        <v>583</v>
      </c>
      <c r="C122" s="679"/>
      <c r="D122" s="679"/>
      <c r="E122" s="679"/>
      <c r="F122" s="680"/>
      <c r="G122" s="327"/>
      <c r="H122" s="433"/>
      <c r="I122" s="414"/>
    </row>
    <row r="123" spans="1:9" x14ac:dyDescent="0.2">
      <c r="A123" s="78" t="s">
        <v>321</v>
      </c>
      <c r="B123" s="804" t="s">
        <v>584</v>
      </c>
      <c r="C123" s="679"/>
      <c r="D123" s="679"/>
      <c r="E123" s="679"/>
      <c r="F123" s="680"/>
      <c r="G123" s="327">
        <f>'Ferramentas - Equipts'!F110</f>
        <v>44.99</v>
      </c>
      <c r="H123" s="433"/>
      <c r="I123" s="414">
        <f>'Ferramentas - Equipts'!F110</f>
        <v>44.99</v>
      </c>
    </row>
    <row r="124" spans="1:9" x14ac:dyDescent="0.2">
      <c r="A124" s="78" t="s">
        <v>322</v>
      </c>
      <c r="B124" s="804" t="s">
        <v>554</v>
      </c>
      <c r="C124" s="679"/>
      <c r="D124" s="679"/>
      <c r="E124" s="679"/>
      <c r="F124" s="680"/>
      <c r="G124" s="327"/>
      <c r="H124" s="906"/>
      <c r="I124" s="907"/>
    </row>
    <row r="125" spans="1:9" x14ac:dyDescent="0.2">
      <c r="A125" s="73"/>
      <c r="B125" s="752" t="s">
        <v>352</v>
      </c>
      <c r="C125" s="781"/>
      <c r="D125" s="781"/>
      <c r="E125" s="781"/>
      <c r="F125" s="788"/>
      <c r="G125" s="317">
        <f>SUM(G121:G124)</f>
        <v>100.32500000000002</v>
      </c>
      <c r="H125" s="440"/>
      <c r="I125" s="403">
        <f>SUM(I121:I124)</f>
        <v>100.32500000000002</v>
      </c>
    </row>
    <row r="126" spans="1:9" x14ac:dyDescent="0.2">
      <c r="A126" s="845" t="s">
        <v>1039</v>
      </c>
      <c r="B126" s="846"/>
      <c r="C126" s="846"/>
      <c r="D126" s="846"/>
      <c r="E126" s="846"/>
      <c r="F126" s="846"/>
      <c r="G126" s="846"/>
      <c r="H126" s="906"/>
      <c r="I126" s="907"/>
    </row>
    <row r="127" spans="1:9" x14ac:dyDescent="0.2">
      <c r="A127" s="129"/>
      <c r="B127" s="84"/>
      <c r="C127" s="84"/>
      <c r="D127" s="84"/>
      <c r="E127" s="84"/>
      <c r="F127" s="291"/>
      <c r="G127" s="328"/>
      <c r="H127" s="906"/>
      <c r="I127" s="907"/>
    </row>
    <row r="128" spans="1:9" x14ac:dyDescent="0.2">
      <c r="A128" s="73"/>
      <c r="B128" s="752" t="s">
        <v>891</v>
      </c>
      <c r="C128" s="781"/>
      <c r="D128" s="781"/>
      <c r="E128" s="781"/>
      <c r="F128" s="781"/>
      <c r="G128" s="320"/>
      <c r="H128" s="908"/>
      <c r="I128" s="909"/>
    </row>
    <row r="129" spans="1:9" x14ac:dyDescent="0.2">
      <c r="A129" s="68">
        <v>6</v>
      </c>
      <c r="B129" s="791" t="s">
        <v>349</v>
      </c>
      <c r="C129" s="792"/>
      <c r="D129" s="809"/>
      <c r="E129" s="874" t="s">
        <v>563</v>
      </c>
      <c r="F129" s="874"/>
      <c r="G129" s="329" t="s">
        <v>331</v>
      </c>
      <c r="H129" s="433"/>
      <c r="I129" s="402" t="s">
        <v>331</v>
      </c>
    </row>
    <row r="130" spans="1:9" ht="12.75" customHeight="1" x14ac:dyDescent="0.2">
      <c r="A130" s="68" t="s">
        <v>316</v>
      </c>
      <c r="B130" s="804" t="s">
        <v>350</v>
      </c>
      <c r="C130" s="679"/>
      <c r="D130" s="680"/>
      <c r="E130" s="847">
        <f>ADM</f>
        <v>2.3199999999999998E-2</v>
      </c>
      <c r="F130" s="848"/>
      <c r="G130" s="327">
        <f>(G35+G81+G91+G117+G125)*E130</f>
        <v>99.130875848838542</v>
      </c>
      <c r="H130" s="433"/>
      <c r="I130" s="414">
        <f>(I35+I81+I91+I117+I125)*E130</f>
        <v>102.6821329947459</v>
      </c>
    </row>
    <row r="131" spans="1:9" ht="12.75" customHeight="1" x14ac:dyDescent="0.2">
      <c r="A131" s="68" t="s">
        <v>318</v>
      </c>
      <c r="B131" s="804" t="s">
        <v>576</v>
      </c>
      <c r="C131" s="679"/>
      <c r="D131" s="680"/>
      <c r="E131" s="847">
        <f>LUCRO_ENGEMIL</f>
        <v>2.3300000000000001E-2</v>
      </c>
      <c r="F131" s="848"/>
      <c r="G131" s="327">
        <f>(G35+G81+G91+G117+G125+G130)*E131</f>
        <v>101.86791351408563</v>
      </c>
      <c r="H131" s="433"/>
      <c r="I131" s="414">
        <f>(I35+I81+I91+I117+I125+I130)*E131</f>
        <v>105.51722209436292</v>
      </c>
    </row>
    <row r="132" spans="1:9" x14ac:dyDescent="0.2">
      <c r="A132" s="68" t="s">
        <v>321</v>
      </c>
      <c r="B132" s="804" t="s">
        <v>351</v>
      </c>
      <c r="C132" s="679"/>
      <c r="D132" s="680"/>
      <c r="E132" s="847">
        <f>SUM(E133:F134)</f>
        <v>0.10150000000000001</v>
      </c>
      <c r="F132" s="848"/>
      <c r="G132" s="325"/>
      <c r="H132" s="433"/>
      <c r="I132" s="415"/>
    </row>
    <row r="133" spans="1:9" ht="26.25" customHeight="1" x14ac:dyDescent="0.2">
      <c r="A133" s="85"/>
      <c r="B133" s="819" t="s">
        <v>971</v>
      </c>
      <c r="C133" s="819"/>
      <c r="D133" s="819"/>
      <c r="E133" s="847">
        <v>8.1500000000000003E-2</v>
      </c>
      <c r="F133" s="848"/>
      <c r="G133" s="327">
        <f>E133*G147</f>
        <v>405.81116480569915</v>
      </c>
      <c r="H133" s="433"/>
      <c r="I133" s="414">
        <f>E133*I147</f>
        <v>420.34891388301759</v>
      </c>
    </row>
    <row r="134" spans="1:9" ht="12.75" customHeight="1" x14ac:dyDescent="0.2">
      <c r="A134" s="85"/>
      <c r="B134" s="819" t="s">
        <v>972</v>
      </c>
      <c r="C134" s="819"/>
      <c r="D134" s="819"/>
      <c r="E134" s="847">
        <v>0.02</v>
      </c>
      <c r="F134" s="848"/>
      <c r="G134" s="327">
        <f>E134*G147</f>
        <v>99.58556191550899</v>
      </c>
      <c r="H134" s="433"/>
      <c r="I134" s="414">
        <f>E134*I147</f>
        <v>103.153107701354</v>
      </c>
    </row>
    <row r="135" spans="1:9" x14ac:dyDescent="0.2">
      <c r="A135" s="73"/>
      <c r="B135" s="752" t="s">
        <v>352</v>
      </c>
      <c r="C135" s="781"/>
      <c r="D135" s="788"/>
      <c r="E135" s="849">
        <f>E130+E131+E132</f>
        <v>0.14800000000000002</v>
      </c>
      <c r="F135" s="788"/>
      <c r="G135" s="330">
        <f>SUM(G130:G134)</f>
        <v>706.39551608413228</v>
      </c>
      <c r="H135" s="433"/>
      <c r="I135" s="403">
        <f>SUM(I130:I134)</f>
        <v>731.70137667348035</v>
      </c>
    </row>
    <row r="136" spans="1:9" x14ac:dyDescent="0.2">
      <c r="A136" s="845" t="s">
        <v>1036</v>
      </c>
      <c r="B136" s="846"/>
      <c r="C136" s="846"/>
      <c r="D136" s="846"/>
      <c r="E136" s="846"/>
      <c r="F136" s="846"/>
      <c r="G136" s="846"/>
      <c r="H136" s="906"/>
      <c r="I136" s="907"/>
    </row>
    <row r="137" spans="1:9" x14ac:dyDescent="0.2">
      <c r="A137" s="845" t="s">
        <v>1040</v>
      </c>
      <c r="B137" s="846"/>
      <c r="C137" s="846"/>
      <c r="D137" s="846"/>
      <c r="E137" s="846"/>
      <c r="F137" s="846"/>
      <c r="G137" s="846"/>
      <c r="H137" s="906"/>
      <c r="I137" s="907"/>
    </row>
    <row r="138" spans="1:9" x14ac:dyDescent="0.2">
      <c r="A138" s="132"/>
      <c r="B138" s="781" t="s">
        <v>577</v>
      </c>
      <c r="C138" s="781"/>
      <c r="D138" s="781"/>
      <c r="E138" s="781"/>
      <c r="F138" s="781"/>
      <c r="G138" s="253"/>
      <c r="H138" s="908"/>
      <c r="I138" s="909"/>
    </row>
    <row r="139" spans="1:9" x14ac:dyDescent="0.2">
      <c r="A139" s="87"/>
      <c r="B139" s="791" t="s">
        <v>353</v>
      </c>
      <c r="C139" s="792"/>
      <c r="D139" s="792"/>
      <c r="E139" s="792"/>
      <c r="F139" s="809"/>
      <c r="G139" s="310" t="s">
        <v>354</v>
      </c>
      <c r="H139" s="433"/>
      <c r="I139" s="417" t="s">
        <v>354</v>
      </c>
    </row>
    <row r="140" spans="1:9" x14ac:dyDescent="0.2">
      <c r="A140" s="68" t="s">
        <v>316</v>
      </c>
      <c r="B140" s="844" t="s">
        <v>947</v>
      </c>
      <c r="C140" s="842"/>
      <c r="D140" s="842"/>
      <c r="E140" s="842"/>
      <c r="F140" s="843"/>
      <c r="G140" s="331">
        <f>G35</f>
        <v>2218.84</v>
      </c>
      <c r="H140" s="433"/>
      <c r="I140" s="418">
        <f>I35</f>
        <v>2301</v>
      </c>
    </row>
    <row r="141" spans="1:9" x14ac:dyDescent="0.2">
      <c r="A141" s="68" t="s">
        <v>318</v>
      </c>
      <c r="B141" s="844" t="s">
        <v>968</v>
      </c>
      <c r="C141" s="842"/>
      <c r="D141" s="842"/>
      <c r="E141" s="842"/>
      <c r="F141" s="843"/>
      <c r="G141" s="331">
        <f>G81</f>
        <v>1779.9529370017335</v>
      </c>
      <c r="H141" s="433"/>
      <c r="I141" s="418">
        <f>I81</f>
        <v>1844.44617784</v>
      </c>
    </row>
    <row r="142" spans="1:9" x14ac:dyDescent="0.2">
      <c r="A142" s="68" t="s">
        <v>321</v>
      </c>
      <c r="B142" s="844" t="s">
        <v>970</v>
      </c>
      <c r="C142" s="842"/>
      <c r="D142" s="842"/>
      <c r="E142" s="842"/>
      <c r="F142" s="843"/>
      <c r="G142" s="331">
        <f>G91</f>
        <v>103.30414580069481</v>
      </c>
      <c r="H142" s="433"/>
      <c r="I142" s="418">
        <f>I91</f>
        <v>107.11329722088668</v>
      </c>
    </row>
    <row r="143" spans="1:9" x14ac:dyDescent="0.2">
      <c r="A143" s="68" t="s">
        <v>322</v>
      </c>
      <c r="B143" s="844" t="s">
        <v>964</v>
      </c>
      <c r="C143" s="842"/>
      <c r="D143" s="842"/>
      <c r="E143" s="842"/>
      <c r="F143" s="843"/>
      <c r="G143" s="331">
        <f>G117</f>
        <v>70.460496888888898</v>
      </c>
      <c r="H143" s="433"/>
      <c r="I143" s="418">
        <f>I117</f>
        <v>73.069533333333339</v>
      </c>
    </row>
    <row r="144" spans="1:9" x14ac:dyDescent="0.2">
      <c r="A144" s="68" t="s">
        <v>333</v>
      </c>
      <c r="B144" s="842" t="s">
        <v>969</v>
      </c>
      <c r="C144" s="842"/>
      <c r="D144" s="842"/>
      <c r="E144" s="842"/>
      <c r="F144" s="843"/>
      <c r="G144" s="331">
        <f>G125</f>
        <v>100.32500000000002</v>
      </c>
      <c r="H144" s="433"/>
      <c r="I144" s="418">
        <f>I125</f>
        <v>100.32500000000002</v>
      </c>
    </row>
    <row r="145" spans="1:9" x14ac:dyDescent="0.2">
      <c r="A145" s="137"/>
      <c r="B145" s="822" t="s">
        <v>578</v>
      </c>
      <c r="C145" s="822"/>
      <c r="D145" s="822"/>
      <c r="E145" s="822"/>
      <c r="F145" s="823"/>
      <c r="G145" s="331">
        <f>SUM(G140:G144)</f>
        <v>4272.882579691317</v>
      </c>
      <c r="H145" s="433"/>
      <c r="I145" s="418">
        <f>SUM(I140:I144)</f>
        <v>4425.9540083942202</v>
      </c>
    </row>
    <row r="146" spans="1:9" x14ac:dyDescent="0.2">
      <c r="A146" s="136" t="s">
        <v>334</v>
      </c>
      <c r="B146" s="844" t="s">
        <v>952</v>
      </c>
      <c r="C146" s="842"/>
      <c r="D146" s="842"/>
      <c r="E146" s="842"/>
      <c r="F146" s="843"/>
      <c r="G146" s="331">
        <f>G135</f>
        <v>706.39551608413228</v>
      </c>
      <c r="H146" s="433"/>
      <c r="I146" s="418">
        <f>I135</f>
        <v>731.70137667348035</v>
      </c>
    </row>
    <row r="147" spans="1:9" ht="16.5" thickBot="1" x14ac:dyDescent="0.3">
      <c r="A147" s="89"/>
      <c r="B147" s="766" t="s">
        <v>355</v>
      </c>
      <c r="C147" s="767"/>
      <c r="D147" s="767"/>
      <c r="E147" s="767"/>
      <c r="F147" s="768"/>
      <c r="G147" s="428">
        <f>(G130+G131+G145)/(1-E132)</f>
        <v>4979.2780957754494</v>
      </c>
      <c r="H147" s="445"/>
      <c r="I147" s="430">
        <f>(I130+I131+I145)/(1-E132)</f>
        <v>5157.6553850677001</v>
      </c>
    </row>
  </sheetData>
  <mergeCells count="218">
    <mergeCell ref="A18:E18"/>
    <mergeCell ref="F17:G18"/>
    <mergeCell ref="H20:I21"/>
    <mergeCell ref="H19:I19"/>
    <mergeCell ref="A21:G21"/>
    <mergeCell ref="B22:E22"/>
    <mergeCell ref="F22:G22"/>
    <mergeCell ref="B23:E23"/>
    <mergeCell ref="F23:G23"/>
    <mergeCell ref="A1:G1"/>
    <mergeCell ref="A6:G6"/>
    <mergeCell ref="B11:E11"/>
    <mergeCell ref="F11:G11"/>
    <mergeCell ref="A9:G9"/>
    <mergeCell ref="B10:E10"/>
    <mergeCell ref="F10:G10"/>
    <mergeCell ref="A7:G7"/>
    <mergeCell ref="A8:G8"/>
    <mergeCell ref="A2:G3"/>
    <mergeCell ref="A4:G4"/>
    <mergeCell ref="A5:G5"/>
    <mergeCell ref="B24:E24"/>
    <mergeCell ref="F24:G24"/>
    <mergeCell ref="H10:I10"/>
    <mergeCell ref="H11:I11"/>
    <mergeCell ref="H12:I12"/>
    <mergeCell ref="H13:I13"/>
    <mergeCell ref="H15:I15"/>
    <mergeCell ref="F15:G15"/>
    <mergeCell ref="H16:I16"/>
    <mergeCell ref="H17:I18"/>
    <mergeCell ref="H22:I22"/>
    <mergeCell ref="H23:I23"/>
    <mergeCell ref="H24:I24"/>
    <mergeCell ref="B12:E12"/>
    <mergeCell ref="F12:G12"/>
    <mergeCell ref="B13:E13"/>
    <mergeCell ref="F13:G13"/>
    <mergeCell ref="A14:G14"/>
    <mergeCell ref="A15:D15"/>
    <mergeCell ref="A16:D16"/>
    <mergeCell ref="F16:G16"/>
    <mergeCell ref="A19:G19"/>
    <mergeCell ref="A20:G20"/>
    <mergeCell ref="A17:E17"/>
    <mergeCell ref="B30:E30"/>
    <mergeCell ref="B31:E31"/>
    <mergeCell ref="B32:E32"/>
    <mergeCell ref="B33:E33"/>
    <mergeCell ref="B25:E25"/>
    <mergeCell ref="F25:G25"/>
    <mergeCell ref="B26:E26"/>
    <mergeCell ref="F26:G26"/>
    <mergeCell ref="B27:E27"/>
    <mergeCell ref="B28:E28"/>
    <mergeCell ref="B29:E29"/>
    <mergeCell ref="B58:E58"/>
    <mergeCell ref="A39:G39"/>
    <mergeCell ref="B40:F40"/>
    <mergeCell ref="B41:E41"/>
    <mergeCell ref="B42:E42"/>
    <mergeCell ref="A44:G44"/>
    <mergeCell ref="B56:E56"/>
    <mergeCell ref="B57:E57"/>
    <mergeCell ref="B34:E34"/>
    <mergeCell ref="B35:E35"/>
    <mergeCell ref="A37:G37"/>
    <mergeCell ref="A36:G36"/>
    <mergeCell ref="B43:E43"/>
    <mergeCell ref="A46:G46"/>
    <mergeCell ref="B53:E53"/>
    <mergeCell ref="B54:E54"/>
    <mergeCell ref="B55:E55"/>
    <mergeCell ref="A45:G45"/>
    <mergeCell ref="A48:G48"/>
    <mergeCell ref="B49:E49"/>
    <mergeCell ref="B50:E50"/>
    <mergeCell ref="B51:E51"/>
    <mergeCell ref="B52:E52"/>
    <mergeCell ref="B38:E38"/>
    <mergeCell ref="B76:F76"/>
    <mergeCell ref="B64:F64"/>
    <mergeCell ref="B65:F65"/>
    <mergeCell ref="B66:F66"/>
    <mergeCell ref="B67:F67"/>
    <mergeCell ref="B68:F68"/>
    <mergeCell ref="B69:F69"/>
    <mergeCell ref="A59:G59"/>
    <mergeCell ref="A60:G60"/>
    <mergeCell ref="A61:G61"/>
    <mergeCell ref="A63:G63"/>
    <mergeCell ref="B103:E103"/>
    <mergeCell ref="A105:G105"/>
    <mergeCell ref="A106:G106"/>
    <mergeCell ref="B110:E110"/>
    <mergeCell ref="B104:E104"/>
    <mergeCell ref="B113:E113"/>
    <mergeCell ref="B97:E97"/>
    <mergeCell ref="B98:E98"/>
    <mergeCell ref="B99:E99"/>
    <mergeCell ref="B100:E100"/>
    <mergeCell ref="B101:E101"/>
    <mergeCell ref="B102:E102"/>
    <mergeCell ref="B128:F128"/>
    <mergeCell ref="B129:D129"/>
    <mergeCell ref="E129:F129"/>
    <mergeCell ref="B114:E114"/>
    <mergeCell ref="B115:E115"/>
    <mergeCell ref="B116:E116"/>
    <mergeCell ref="B117:E117"/>
    <mergeCell ref="A107:G107"/>
    <mergeCell ref="B108:E108"/>
    <mergeCell ref="B109:E109"/>
    <mergeCell ref="A111:G111"/>
    <mergeCell ref="B145:F145"/>
    <mergeCell ref="B147:F147"/>
    <mergeCell ref="E135:F135"/>
    <mergeCell ref="A136:G136"/>
    <mergeCell ref="A137:G137"/>
    <mergeCell ref="B132:D132"/>
    <mergeCell ref="E132:F132"/>
    <mergeCell ref="B133:D133"/>
    <mergeCell ref="E133:F133"/>
    <mergeCell ref="B134:D134"/>
    <mergeCell ref="E134:F134"/>
    <mergeCell ref="B135:D135"/>
    <mergeCell ref="B142:F142"/>
    <mergeCell ref="B143:F143"/>
    <mergeCell ref="B144:F144"/>
    <mergeCell ref="B146:F146"/>
    <mergeCell ref="B139:F139"/>
    <mergeCell ref="B140:F140"/>
    <mergeCell ref="B141:F141"/>
    <mergeCell ref="H1:I1"/>
    <mergeCell ref="H36:I36"/>
    <mergeCell ref="H37:I37"/>
    <mergeCell ref="F38:G38"/>
    <mergeCell ref="H38:I38"/>
    <mergeCell ref="H14:I14"/>
    <mergeCell ref="H59:I59"/>
    <mergeCell ref="B93:E93"/>
    <mergeCell ref="B91:E91"/>
    <mergeCell ref="B77:F77"/>
    <mergeCell ref="B78:F78"/>
    <mergeCell ref="B79:F79"/>
    <mergeCell ref="B80:F80"/>
    <mergeCell ref="B70:F70"/>
    <mergeCell ref="B71:F71"/>
    <mergeCell ref="B72:F72"/>
    <mergeCell ref="A73:G73"/>
    <mergeCell ref="A74:G74"/>
    <mergeCell ref="B81:F81"/>
    <mergeCell ref="B87:E87"/>
    <mergeCell ref="B88:E88"/>
    <mergeCell ref="B89:E89"/>
    <mergeCell ref="B90:E90"/>
    <mergeCell ref="A82:G82"/>
    <mergeCell ref="F93:G93"/>
    <mergeCell ref="H93:I93"/>
    <mergeCell ref="H92:I92"/>
    <mergeCell ref="H94:I94"/>
    <mergeCell ref="H95:I95"/>
    <mergeCell ref="H96:I96"/>
    <mergeCell ref="H105:I105"/>
    <mergeCell ref="H106:I106"/>
    <mergeCell ref="H60:I60"/>
    <mergeCell ref="H61:I61"/>
    <mergeCell ref="H62:I62"/>
    <mergeCell ref="H63:I63"/>
    <mergeCell ref="H73:I73"/>
    <mergeCell ref="H74:I74"/>
    <mergeCell ref="H75:I75"/>
    <mergeCell ref="H76:I76"/>
    <mergeCell ref="H82:I82"/>
    <mergeCell ref="A94:G94"/>
    <mergeCell ref="A95:G95"/>
    <mergeCell ref="A96:G96"/>
    <mergeCell ref="A83:G83"/>
    <mergeCell ref="B84:E84"/>
    <mergeCell ref="B85:E85"/>
    <mergeCell ref="B86:E86"/>
    <mergeCell ref="H138:I138"/>
    <mergeCell ref="H107:I107"/>
    <mergeCell ref="H109:I109"/>
    <mergeCell ref="F109:G109"/>
    <mergeCell ref="F110:G110"/>
    <mergeCell ref="H110:I110"/>
    <mergeCell ref="H111:I111"/>
    <mergeCell ref="H112:I112"/>
    <mergeCell ref="H113:I113"/>
    <mergeCell ref="F113:G113"/>
    <mergeCell ref="A112:G112"/>
    <mergeCell ref="B138:F138"/>
    <mergeCell ref="B130:D130"/>
    <mergeCell ref="E130:F130"/>
    <mergeCell ref="B131:D131"/>
    <mergeCell ref="E131:F131"/>
    <mergeCell ref="B123:F123"/>
    <mergeCell ref="B124:F124"/>
    <mergeCell ref="A126:G126"/>
    <mergeCell ref="B125:F125"/>
    <mergeCell ref="A119:G119"/>
    <mergeCell ref="B120:F120"/>
    <mergeCell ref="B121:F121"/>
    <mergeCell ref="B122:F122"/>
    <mergeCell ref="H2:I4"/>
    <mergeCell ref="H118:I118"/>
    <mergeCell ref="H119:I119"/>
    <mergeCell ref="H124:I124"/>
    <mergeCell ref="H126:I126"/>
    <mergeCell ref="H127:I127"/>
    <mergeCell ref="H128:I128"/>
    <mergeCell ref="H136:I136"/>
    <mergeCell ref="H137:I137"/>
    <mergeCell ref="H83:I83"/>
    <mergeCell ref="H5:I9"/>
    <mergeCell ref="H25:I25"/>
    <mergeCell ref="H26:I26"/>
  </mergeCells>
  <printOptions horizontalCentered="1"/>
  <pageMargins left="0.53149606299212604" right="0.53149606299212604" top="1.1811023622047245" bottom="0.98425196850393704" header="0" footer="0"/>
  <pageSetup paperSize="9" scale="85"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5D7FF"/>
  </sheetPr>
  <dimension ref="A1:M147"/>
  <sheetViews>
    <sheetView view="pageBreakPreview" topLeftCell="B41" zoomScale="120" zoomScaleNormal="140" zoomScaleSheetLayoutView="120" workbookViewId="0">
      <selection activeCell="H49" sqref="H49"/>
    </sheetView>
  </sheetViews>
  <sheetFormatPr defaultRowHeight="12.75" x14ac:dyDescent="0.2"/>
  <cols>
    <col min="1" max="2" width="9.140625" style="91"/>
    <col min="3" max="3" width="11.85546875" style="91" customWidth="1"/>
    <col min="4" max="4" width="21.42578125" style="91" customWidth="1"/>
    <col min="5" max="5" width="31" style="91" customWidth="1"/>
    <col min="6" max="6" width="10.7109375" style="144" customWidth="1"/>
    <col min="7" max="7" width="15.7109375" style="91" customWidth="1"/>
    <col min="8" max="8" width="10.7109375" style="400" customWidth="1"/>
    <col min="9" max="9" width="15.7109375" style="427" customWidth="1"/>
    <col min="10" max="12" width="9.140625" style="91"/>
    <col min="13" max="13" width="12.140625" style="91" bestFit="1" customWidth="1"/>
    <col min="14" max="16384" width="9.140625" style="91"/>
  </cols>
  <sheetData>
    <row r="1" spans="1:9" ht="12.75" customHeight="1" thickBot="1" x14ac:dyDescent="0.25">
      <c r="A1" s="826"/>
      <c r="B1" s="826"/>
      <c r="C1" s="826"/>
      <c r="D1" s="826"/>
      <c r="E1" s="826"/>
      <c r="F1" s="826"/>
      <c r="G1" s="826"/>
      <c r="H1" s="444"/>
      <c r="I1" s="444"/>
    </row>
    <row r="2" spans="1:9" ht="24" customHeight="1" x14ac:dyDescent="0.2">
      <c r="A2" s="827" t="s">
        <v>1017</v>
      </c>
      <c r="B2" s="828"/>
      <c r="C2" s="828"/>
      <c r="D2" s="828"/>
      <c r="E2" s="828"/>
      <c r="F2" s="828"/>
      <c r="G2" s="828"/>
      <c r="H2" s="739" t="s">
        <v>1004</v>
      </c>
      <c r="I2" s="741"/>
    </row>
    <row r="3" spans="1:9" ht="42.75" customHeight="1" thickBot="1" x14ac:dyDescent="0.25">
      <c r="A3" s="829"/>
      <c r="B3" s="830"/>
      <c r="C3" s="830"/>
      <c r="D3" s="830"/>
      <c r="E3" s="830"/>
      <c r="F3" s="830"/>
      <c r="G3" s="830"/>
      <c r="H3" s="742"/>
      <c r="I3" s="744"/>
    </row>
    <row r="4" spans="1:9" ht="52.5" customHeight="1" x14ac:dyDescent="0.2">
      <c r="A4" s="883" t="s">
        <v>579</v>
      </c>
      <c r="B4" s="883"/>
      <c r="C4" s="883"/>
      <c r="D4" s="883"/>
      <c r="E4" s="883"/>
      <c r="F4" s="883"/>
      <c r="G4" s="884"/>
      <c r="H4" s="748"/>
      <c r="I4" s="749"/>
    </row>
    <row r="5" spans="1:9" ht="15" customHeight="1" x14ac:dyDescent="0.2">
      <c r="A5" s="785" t="s">
        <v>927</v>
      </c>
      <c r="B5" s="786"/>
      <c r="C5" s="786"/>
      <c r="D5" s="786"/>
      <c r="E5" s="786"/>
      <c r="F5" s="786"/>
      <c r="G5" s="786"/>
      <c r="H5" s="900" t="s">
        <v>1141</v>
      </c>
      <c r="I5" s="901"/>
    </row>
    <row r="6" spans="1:9" x14ac:dyDescent="0.2">
      <c r="A6" s="785" t="s">
        <v>928</v>
      </c>
      <c r="B6" s="786"/>
      <c r="C6" s="786"/>
      <c r="D6" s="786"/>
      <c r="E6" s="786"/>
      <c r="F6" s="786"/>
      <c r="G6" s="786"/>
      <c r="H6" s="902"/>
      <c r="I6" s="903"/>
    </row>
    <row r="7" spans="1:9" ht="12.75" customHeight="1" x14ac:dyDescent="0.2">
      <c r="A7" s="785" t="s">
        <v>929</v>
      </c>
      <c r="B7" s="786"/>
      <c r="C7" s="786"/>
      <c r="D7" s="786"/>
      <c r="E7" s="786"/>
      <c r="F7" s="786"/>
      <c r="G7" s="786"/>
      <c r="H7" s="902"/>
      <c r="I7" s="903"/>
    </row>
    <row r="8" spans="1:9" ht="12.75" customHeight="1" x14ac:dyDescent="0.2">
      <c r="A8" s="685" t="s">
        <v>1147</v>
      </c>
      <c r="B8" s="686"/>
      <c r="C8" s="686"/>
      <c r="D8" s="686"/>
      <c r="E8" s="686"/>
      <c r="F8" s="686"/>
      <c r="G8" s="686"/>
      <c r="H8" s="902"/>
      <c r="I8" s="903"/>
    </row>
    <row r="9" spans="1:9" x14ac:dyDescent="0.2">
      <c r="A9" s="785" t="s">
        <v>546</v>
      </c>
      <c r="B9" s="786"/>
      <c r="C9" s="786"/>
      <c r="D9" s="786"/>
      <c r="E9" s="786"/>
      <c r="F9" s="786"/>
      <c r="G9" s="786"/>
      <c r="H9" s="904"/>
      <c r="I9" s="905"/>
    </row>
    <row r="10" spans="1:9" x14ac:dyDescent="0.2">
      <c r="A10" s="68" t="s">
        <v>316</v>
      </c>
      <c r="B10" s="770" t="s">
        <v>317</v>
      </c>
      <c r="C10" s="771"/>
      <c r="D10" s="771"/>
      <c r="E10" s="772"/>
      <c r="F10" s="773">
        <v>43580</v>
      </c>
      <c r="G10" s="774"/>
      <c r="H10" s="640">
        <v>43669</v>
      </c>
      <c r="I10" s="641"/>
    </row>
    <row r="11" spans="1:9" x14ac:dyDescent="0.2">
      <c r="A11" s="68" t="s">
        <v>318</v>
      </c>
      <c r="B11" s="770" t="s">
        <v>319</v>
      </c>
      <c r="C11" s="771"/>
      <c r="D11" s="771"/>
      <c r="E11" s="772"/>
      <c r="F11" s="775" t="s">
        <v>320</v>
      </c>
      <c r="G11" s="776"/>
      <c r="H11" s="642" t="s">
        <v>320</v>
      </c>
      <c r="I11" s="643"/>
    </row>
    <row r="12" spans="1:9" ht="27.75" customHeight="1" x14ac:dyDescent="0.2">
      <c r="A12" s="68" t="s">
        <v>321</v>
      </c>
      <c r="B12" s="981" t="s">
        <v>605</v>
      </c>
      <c r="C12" s="982"/>
      <c r="D12" s="982"/>
      <c r="E12" s="983"/>
      <c r="F12" s="752" t="s">
        <v>878</v>
      </c>
      <c r="G12" s="781"/>
      <c r="H12" s="954" t="s">
        <v>1152</v>
      </c>
      <c r="I12" s="955"/>
    </row>
    <row r="13" spans="1:9" x14ac:dyDescent="0.2">
      <c r="A13" s="68" t="s">
        <v>322</v>
      </c>
      <c r="B13" s="770" t="s">
        <v>1140</v>
      </c>
      <c r="C13" s="771"/>
      <c r="D13" s="771"/>
      <c r="E13" s="772"/>
      <c r="F13" s="775">
        <v>24</v>
      </c>
      <c r="G13" s="776"/>
      <c r="H13" s="860">
        <v>24</v>
      </c>
      <c r="I13" s="861"/>
    </row>
    <row r="14" spans="1:9" x14ac:dyDescent="0.2">
      <c r="A14" s="752" t="s">
        <v>547</v>
      </c>
      <c r="B14" s="781"/>
      <c r="C14" s="781"/>
      <c r="D14" s="781"/>
      <c r="E14" s="781"/>
      <c r="F14" s="781"/>
      <c r="G14" s="781"/>
      <c r="H14" s="758"/>
      <c r="I14" s="759"/>
    </row>
    <row r="15" spans="1:9" ht="39" customHeight="1" x14ac:dyDescent="0.2">
      <c r="A15" s="787" t="s">
        <v>323</v>
      </c>
      <c r="B15" s="787"/>
      <c r="C15" s="787"/>
      <c r="D15" s="787"/>
      <c r="E15" s="314" t="s">
        <v>324</v>
      </c>
      <c r="F15" s="927" t="s">
        <v>899</v>
      </c>
      <c r="G15" s="928"/>
      <c r="H15" s="934" t="s">
        <v>899</v>
      </c>
      <c r="I15" s="935"/>
    </row>
    <row r="16" spans="1:9" ht="16.5" customHeight="1" x14ac:dyDescent="0.2">
      <c r="A16" s="777" t="s">
        <v>918</v>
      </c>
      <c r="B16" s="778"/>
      <c r="C16" s="778"/>
      <c r="D16" s="779"/>
      <c r="E16" s="78" t="s">
        <v>325</v>
      </c>
      <c r="F16" s="820">
        <v>1</v>
      </c>
      <c r="G16" s="791"/>
      <c r="H16" s="800">
        <v>1</v>
      </c>
      <c r="I16" s="801"/>
    </row>
    <row r="17" spans="1:13" ht="23.25" customHeight="1" x14ac:dyDescent="0.2">
      <c r="A17" s="972" t="s">
        <v>1050</v>
      </c>
      <c r="B17" s="973"/>
      <c r="C17" s="973"/>
      <c r="D17" s="973"/>
      <c r="E17" s="973"/>
      <c r="F17" s="820"/>
      <c r="G17" s="791"/>
      <c r="H17" s="960"/>
      <c r="I17" s="961"/>
    </row>
    <row r="18" spans="1:13" ht="24.75" customHeight="1" x14ac:dyDescent="0.2">
      <c r="A18" s="972" t="s">
        <v>1051</v>
      </c>
      <c r="B18" s="973"/>
      <c r="C18" s="973"/>
      <c r="D18" s="973"/>
      <c r="E18" s="973"/>
      <c r="F18" s="820"/>
      <c r="G18" s="791"/>
      <c r="H18" s="960"/>
      <c r="I18" s="961"/>
    </row>
    <row r="19" spans="1:13" x14ac:dyDescent="0.2">
      <c r="A19" s="769" t="s">
        <v>901</v>
      </c>
      <c r="B19" s="769"/>
      <c r="C19" s="769"/>
      <c r="D19" s="769"/>
      <c r="E19" s="769"/>
      <c r="F19" s="769"/>
      <c r="G19" s="752"/>
      <c r="H19" s="754"/>
      <c r="I19" s="755"/>
    </row>
    <row r="20" spans="1:13" x14ac:dyDescent="0.2">
      <c r="A20" s="836" t="s">
        <v>326</v>
      </c>
      <c r="B20" s="836"/>
      <c r="C20" s="836"/>
      <c r="D20" s="836"/>
      <c r="E20" s="836"/>
      <c r="F20" s="836"/>
      <c r="G20" s="837"/>
      <c r="H20" s="990"/>
      <c r="I20" s="991"/>
      <c r="M20" s="138"/>
    </row>
    <row r="21" spans="1:13" x14ac:dyDescent="0.2">
      <c r="A21" s="836" t="s">
        <v>327</v>
      </c>
      <c r="B21" s="836"/>
      <c r="C21" s="836"/>
      <c r="D21" s="836"/>
      <c r="E21" s="836"/>
      <c r="F21" s="836"/>
      <c r="G21" s="837"/>
      <c r="H21" s="990"/>
      <c r="I21" s="991"/>
      <c r="M21" s="138"/>
    </row>
    <row r="22" spans="1:13" ht="30.75" customHeight="1" x14ac:dyDescent="0.2">
      <c r="A22" s="68">
        <v>1</v>
      </c>
      <c r="B22" s="810" t="s">
        <v>328</v>
      </c>
      <c r="C22" s="811"/>
      <c r="D22" s="811"/>
      <c r="E22" s="812"/>
      <c r="F22" s="785" t="s">
        <v>616</v>
      </c>
      <c r="G22" s="786"/>
      <c r="H22" s="866" t="s">
        <v>616</v>
      </c>
      <c r="I22" s="867"/>
      <c r="M22" s="139"/>
    </row>
    <row r="23" spans="1:13" x14ac:dyDescent="0.2">
      <c r="A23" s="68">
        <v>2</v>
      </c>
      <c r="B23" s="810" t="s">
        <v>549</v>
      </c>
      <c r="C23" s="811"/>
      <c r="D23" s="811"/>
      <c r="E23" s="812"/>
      <c r="F23" s="785" t="s">
        <v>588</v>
      </c>
      <c r="G23" s="786"/>
      <c r="H23" s="866" t="s">
        <v>588</v>
      </c>
      <c r="I23" s="867"/>
      <c r="M23" s="140"/>
    </row>
    <row r="24" spans="1:13" x14ac:dyDescent="0.2">
      <c r="A24" s="69">
        <v>3</v>
      </c>
      <c r="B24" s="884" t="s">
        <v>550</v>
      </c>
      <c r="C24" s="984"/>
      <c r="D24" s="984"/>
      <c r="E24" s="985"/>
      <c r="F24" s="986">
        <v>1706.8</v>
      </c>
      <c r="G24" s="987"/>
      <c r="H24" s="988">
        <v>1770</v>
      </c>
      <c r="I24" s="989"/>
    </row>
    <row r="25" spans="1:13" ht="24.75" customHeight="1" x14ac:dyDescent="0.2">
      <c r="A25" s="68">
        <v>4</v>
      </c>
      <c r="B25" s="810" t="s">
        <v>329</v>
      </c>
      <c r="C25" s="811"/>
      <c r="D25" s="811"/>
      <c r="E25" s="812"/>
      <c r="F25" s="785" t="str">
        <f>A16</f>
        <v xml:space="preserve"> Bombeiro Hidráulico de Manutenção </v>
      </c>
      <c r="G25" s="786"/>
      <c r="H25" s="866" t="str">
        <f>A16</f>
        <v xml:space="preserve"> Bombeiro Hidráulico de Manutenção </v>
      </c>
      <c r="I25" s="867"/>
    </row>
    <row r="26" spans="1:13" ht="12.75" customHeight="1" x14ac:dyDescent="0.2">
      <c r="A26" s="68">
        <v>5</v>
      </c>
      <c r="B26" s="810" t="s">
        <v>582</v>
      </c>
      <c r="C26" s="811"/>
      <c r="D26" s="811"/>
      <c r="E26" s="812"/>
      <c r="F26" s="835" t="s">
        <v>619</v>
      </c>
      <c r="G26" s="792"/>
      <c r="H26" s="856" t="s">
        <v>1154</v>
      </c>
      <c r="I26" s="857"/>
    </row>
    <row r="27" spans="1:13" x14ac:dyDescent="0.2">
      <c r="A27" s="70"/>
      <c r="B27" s="891" t="s">
        <v>973</v>
      </c>
      <c r="C27" s="892"/>
      <c r="D27" s="892"/>
      <c r="E27" s="892"/>
      <c r="F27" s="752"/>
      <c r="G27" s="753"/>
      <c r="H27" s="758"/>
      <c r="I27" s="759"/>
    </row>
    <row r="28" spans="1:13" x14ac:dyDescent="0.2">
      <c r="A28" s="68">
        <v>1</v>
      </c>
      <c r="B28" s="791" t="s">
        <v>330</v>
      </c>
      <c r="C28" s="792"/>
      <c r="D28" s="792"/>
      <c r="E28" s="809"/>
      <c r="F28" s="160" t="s">
        <v>341</v>
      </c>
      <c r="G28" s="311" t="s">
        <v>331</v>
      </c>
      <c r="H28" s="380" t="s">
        <v>341</v>
      </c>
      <c r="I28" s="401" t="s">
        <v>331</v>
      </c>
    </row>
    <row r="29" spans="1:13" x14ac:dyDescent="0.2">
      <c r="A29" s="68" t="s">
        <v>316</v>
      </c>
      <c r="B29" s="804" t="s">
        <v>332</v>
      </c>
      <c r="C29" s="679"/>
      <c r="D29" s="679"/>
      <c r="E29" s="680"/>
      <c r="F29" s="255">
        <v>1</v>
      </c>
      <c r="G29" s="327">
        <f>F24</f>
        <v>1706.8</v>
      </c>
      <c r="H29" s="382">
        <v>1</v>
      </c>
      <c r="I29" s="414">
        <f>H24</f>
        <v>1770</v>
      </c>
    </row>
    <row r="30" spans="1:13" x14ac:dyDescent="0.2">
      <c r="A30" s="68" t="s">
        <v>318</v>
      </c>
      <c r="B30" s="804" t="s">
        <v>938</v>
      </c>
      <c r="C30" s="679"/>
      <c r="D30" s="679"/>
      <c r="E30" s="680"/>
      <c r="F30" s="255"/>
      <c r="G30" s="319"/>
      <c r="H30" s="382"/>
      <c r="I30" s="404"/>
    </row>
    <row r="31" spans="1:13" x14ac:dyDescent="0.2">
      <c r="A31" s="68" t="s">
        <v>321</v>
      </c>
      <c r="B31" s="804" t="s">
        <v>686</v>
      </c>
      <c r="C31" s="679"/>
      <c r="D31" s="679"/>
      <c r="E31" s="680"/>
      <c r="F31" s="255">
        <v>0.4</v>
      </c>
      <c r="G31" s="319">
        <f>F31*998</f>
        <v>399.20000000000005</v>
      </c>
      <c r="H31" s="382">
        <v>0.4</v>
      </c>
      <c r="I31" s="404">
        <f>H31*998</f>
        <v>399.20000000000005</v>
      </c>
    </row>
    <row r="32" spans="1:13" x14ac:dyDescent="0.2">
      <c r="A32" s="68" t="s">
        <v>322</v>
      </c>
      <c r="B32" s="804" t="s">
        <v>552</v>
      </c>
      <c r="C32" s="679"/>
      <c r="D32" s="679"/>
      <c r="E32" s="680"/>
      <c r="F32" s="255"/>
      <c r="G32" s="319"/>
      <c r="H32" s="382"/>
      <c r="I32" s="404"/>
    </row>
    <row r="33" spans="1:9" x14ac:dyDescent="0.2">
      <c r="A33" s="68" t="s">
        <v>333</v>
      </c>
      <c r="B33" s="804" t="s">
        <v>553</v>
      </c>
      <c r="C33" s="679"/>
      <c r="D33" s="679"/>
      <c r="E33" s="680"/>
      <c r="F33" s="255"/>
      <c r="G33" s="319"/>
      <c r="H33" s="382"/>
      <c r="I33" s="404"/>
    </row>
    <row r="34" spans="1:9" x14ac:dyDescent="0.2">
      <c r="A34" s="68" t="s">
        <v>334</v>
      </c>
      <c r="B34" s="804" t="s">
        <v>880</v>
      </c>
      <c r="C34" s="679"/>
      <c r="D34" s="679"/>
      <c r="E34" s="680"/>
      <c r="F34" s="255"/>
      <c r="G34" s="319"/>
      <c r="H34" s="382"/>
      <c r="I34" s="404"/>
    </row>
    <row r="35" spans="1:9" x14ac:dyDescent="0.2">
      <c r="A35" s="71"/>
      <c r="B35" s="752" t="s">
        <v>337</v>
      </c>
      <c r="C35" s="781"/>
      <c r="D35" s="781"/>
      <c r="E35" s="781"/>
      <c r="F35" s="72">
        <f>SUM(F29:F34)</f>
        <v>1.4</v>
      </c>
      <c r="G35" s="317">
        <f>SUM(G29:G34)</f>
        <v>2106</v>
      </c>
      <c r="H35" s="381">
        <f>SUM(H29:H34)</f>
        <v>1.4</v>
      </c>
      <c r="I35" s="403">
        <f>SUM(I29:I34)</f>
        <v>2169.1999999999998</v>
      </c>
    </row>
    <row r="36" spans="1:9" x14ac:dyDescent="0.2">
      <c r="A36" s="978" t="s">
        <v>1066</v>
      </c>
      <c r="B36" s="979"/>
      <c r="C36" s="979"/>
      <c r="D36" s="979"/>
      <c r="E36" s="979"/>
      <c r="F36" s="979"/>
      <c r="G36" s="979"/>
      <c r="H36" s="881"/>
      <c r="I36" s="882"/>
    </row>
    <row r="37" spans="1:9" x14ac:dyDescent="0.2">
      <c r="A37" s="775"/>
      <c r="B37" s="776"/>
      <c r="C37" s="776"/>
      <c r="D37" s="776"/>
      <c r="E37" s="776"/>
      <c r="F37" s="776"/>
      <c r="G37" s="776"/>
      <c r="H37" s="974"/>
      <c r="I37" s="975"/>
    </row>
    <row r="38" spans="1:9" x14ac:dyDescent="0.2">
      <c r="A38" s="73"/>
      <c r="B38" s="752" t="s">
        <v>555</v>
      </c>
      <c r="C38" s="781"/>
      <c r="D38" s="781"/>
      <c r="E38" s="781"/>
      <c r="F38" s="752"/>
      <c r="G38" s="753"/>
      <c r="H38" s="754"/>
      <c r="I38" s="755"/>
    </row>
    <row r="39" spans="1:9" x14ac:dyDescent="0.2">
      <c r="A39" s="678" t="s">
        <v>556</v>
      </c>
      <c r="B39" s="793"/>
      <c r="C39" s="793"/>
      <c r="D39" s="793"/>
      <c r="E39" s="793"/>
      <c r="F39" s="793"/>
      <c r="G39" s="793"/>
      <c r="H39" s="387"/>
      <c r="I39" s="408"/>
    </row>
    <row r="40" spans="1:9" x14ac:dyDescent="0.2">
      <c r="A40" s="68" t="s">
        <v>557</v>
      </c>
      <c r="B40" s="791" t="s">
        <v>558</v>
      </c>
      <c r="C40" s="792"/>
      <c r="D40" s="792"/>
      <c r="E40" s="792"/>
      <c r="F40" s="809"/>
      <c r="G40" s="311" t="s">
        <v>331</v>
      </c>
      <c r="H40" s="380"/>
      <c r="I40" s="401" t="s">
        <v>331</v>
      </c>
    </row>
    <row r="41" spans="1:9" x14ac:dyDescent="0.2">
      <c r="A41" s="68" t="s">
        <v>316</v>
      </c>
      <c r="B41" s="804" t="s">
        <v>559</v>
      </c>
      <c r="C41" s="679"/>
      <c r="D41" s="679"/>
      <c r="E41" s="680"/>
      <c r="F41" s="161">
        <v>8.3299999999999999E-2</v>
      </c>
      <c r="G41" s="319">
        <f>F41*G35</f>
        <v>175.4298</v>
      </c>
      <c r="H41" s="383">
        <v>8.3299999999999999E-2</v>
      </c>
      <c r="I41" s="404">
        <f>H41*I35</f>
        <v>180.69435999999999</v>
      </c>
    </row>
    <row r="42" spans="1:9" x14ac:dyDescent="0.2">
      <c r="A42" s="68" t="s">
        <v>318</v>
      </c>
      <c r="B42" s="804" t="s">
        <v>607</v>
      </c>
      <c r="C42" s="679"/>
      <c r="D42" s="679"/>
      <c r="E42" s="680"/>
      <c r="F42" s="161">
        <f>8.33%+(8.33%*1/3)</f>
        <v>0.11106666666666666</v>
      </c>
      <c r="G42" s="319">
        <f>F42*G35</f>
        <v>233.90639999999999</v>
      </c>
      <c r="H42" s="383">
        <f>8.33%+(8.33%*1/3)</f>
        <v>0.11106666666666666</v>
      </c>
      <c r="I42" s="404">
        <f>H42*I35</f>
        <v>240.92581333333331</v>
      </c>
    </row>
    <row r="43" spans="1:9" x14ac:dyDescent="0.2">
      <c r="A43" s="791" t="s">
        <v>352</v>
      </c>
      <c r="B43" s="792"/>
      <c r="C43" s="792"/>
      <c r="D43" s="792"/>
      <c r="E43" s="792"/>
      <c r="F43" s="161">
        <f>SUM(F41:F42)</f>
        <v>0.19436666666666666</v>
      </c>
      <c r="G43" s="327">
        <f>SUM(G41:G42)</f>
        <v>409.33619999999996</v>
      </c>
      <c r="H43" s="383">
        <f>SUM(H41:H42)</f>
        <v>0.19436666666666666</v>
      </c>
      <c r="I43" s="414">
        <f>SUM(I41:I42)</f>
        <v>421.6201733333333</v>
      </c>
    </row>
    <row r="44" spans="1:9" ht="21" customHeight="1" x14ac:dyDescent="0.2">
      <c r="A44" s="789" t="s">
        <v>1084</v>
      </c>
      <c r="B44" s="790"/>
      <c r="C44" s="790"/>
      <c r="D44" s="790"/>
      <c r="E44" s="790"/>
      <c r="F44" s="790"/>
      <c r="G44" s="790"/>
      <c r="H44" s="877"/>
      <c r="I44" s="878"/>
    </row>
    <row r="45" spans="1:9" x14ac:dyDescent="0.2">
      <c r="A45" s="789" t="s">
        <v>1085</v>
      </c>
      <c r="B45" s="790"/>
      <c r="C45" s="790"/>
      <c r="D45" s="790"/>
      <c r="E45" s="790"/>
      <c r="F45" s="790"/>
      <c r="G45" s="790"/>
      <c r="H45" s="877"/>
      <c r="I45" s="878"/>
    </row>
    <row r="46" spans="1:9" ht="19.5" customHeight="1" x14ac:dyDescent="0.2">
      <c r="A46" s="821" t="s">
        <v>1086</v>
      </c>
      <c r="B46" s="821"/>
      <c r="C46" s="821"/>
      <c r="D46" s="821"/>
      <c r="E46" s="821"/>
      <c r="F46" s="821"/>
      <c r="G46" s="821"/>
      <c r="H46" s="877"/>
      <c r="I46" s="878"/>
    </row>
    <row r="47" spans="1:9" x14ac:dyDescent="0.2">
      <c r="A47" s="775"/>
      <c r="B47" s="776"/>
      <c r="C47" s="776"/>
      <c r="D47" s="776"/>
      <c r="E47" s="776"/>
      <c r="F47" s="776"/>
      <c r="G47" s="776"/>
      <c r="H47" s="877"/>
      <c r="I47" s="878"/>
    </row>
    <row r="48" spans="1:9" x14ac:dyDescent="0.2">
      <c r="A48" s="678" t="s">
        <v>560</v>
      </c>
      <c r="B48" s="793"/>
      <c r="C48" s="793"/>
      <c r="D48" s="793"/>
      <c r="E48" s="793"/>
      <c r="F48" s="793"/>
      <c r="G48" s="793"/>
      <c r="H48" s="877"/>
      <c r="I48" s="878"/>
    </row>
    <row r="49" spans="1:10" ht="25.5" x14ac:dyDescent="0.2">
      <c r="A49" s="68" t="s">
        <v>561</v>
      </c>
      <c r="B49" s="791" t="s">
        <v>562</v>
      </c>
      <c r="C49" s="792"/>
      <c r="D49" s="792"/>
      <c r="E49" s="809"/>
      <c r="F49" s="161" t="s">
        <v>563</v>
      </c>
      <c r="G49" s="311" t="s">
        <v>331</v>
      </c>
      <c r="H49" s="383" t="s">
        <v>563</v>
      </c>
      <c r="I49" s="401" t="s">
        <v>331</v>
      </c>
    </row>
    <row r="50" spans="1:10" x14ac:dyDescent="0.2">
      <c r="A50" s="68" t="s">
        <v>316</v>
      </c>
      <c r="B50" s="804" t="s">
        <v>342</v>
      </c>
      <c r="C50" s="679"/>
      <c r="D50" s="679"/>
      <c r="E50" s="680"/>
      <c r="F50" s="80"/>
      <c r="G50" s="321">
        <f>F50*(G35+G43+G117)</f>
        <v>0</v>
      </c>
      <c r="H50" s="383"/>
      <c r="I50" s="409">
        <f>H50*(I35+I43+I117)</f>
        <v>0</v>
      </c>
    </row>
    <row r="51" spans="1:10" x14ac:dyDescent="0.2">
      <c r="A51" s="68" t="s">
        <v>318</v>
      </c>
      <c r="B51" s="804" t="s">
        <v>564</v>
      </c>
      <c r="C51" s="679"/>
      <c r="D51" s="679"/>
      <c r="E51" s="680"/>
      <c r="F51" s="80">
        <v>2.5000000000000001E-2</v>
      </c>
      <c r="G51" s="321">
        <f>F51*(G35+G43+G117)</f>
        <v>64.555334999999999</v>
      </c>
      <c r="H51" s="383">
        <v>2.5000000000000001E-2</v>
      </c>
      <c r="I51" s="409">
        <f>H51*(I35+I43+I117)</f>
        <v>66.492608111111096</v>
      </c>
    </row>
    <row r="52" spans="1:10" x14ac:dyDescent="0.2">
      <c r="A52" s="68" t="s">
        <v>321</v>
      </c>
      <c r="B52" s="804" t="s">
        <v>565</v>
      </c>
      <c r="C52" s="679"/>
      <c r="D52" s="679"/>
      <c r="E52" s="680"/>
      <c r="F52" s="80">
        <v>2.7900000000000001E-2</v>
      </c>
      <c r="G52" s="321">
        <f>F52*(G35+G43+G117)</f>
        <v>72.043753859999995</v>
      </c>
      <c r="H52" s="196">
        <v>2.76E-2</v>
      </c>
      <c r="I52" s="506">
        <f>H52*(I35+I43+I117)</f>
        <v>73.407839354666649</v>
      </c>
      <c r="J52" s="504"/>
    </row>
    <row r="53" spans="1:10" x14ac:dyDescent="0.2">
      <c r="A53" s="68" t="s">
        <v>322</v>
      </c>
      <c r="B53" s="804" t="s">
        <v>566</v>
      </c>
      <c r="C53" s="679"/>
      <c r="D53" s="679"/>
      <c r="E53" s="680"/>
      <c r="F53" s="80">
        <v>1.4999999999999999E-2</v>
      </c>
      <c r="G53" s="321">
        <f>F53*(G35+G43+G117)</f>
        <v>38.733200999999994</v>
      </c>
      <c r="H53" s="383">
        <v>1.4999999999999999E-2</v>
      </c>
      <c r="I53" s="409">
        <f>H53*(I35+I43+I117)</f>
        <v>39.89556486666666</v>
      </c>
    </row>
    <row r="54" spans="1:10" x14ac:dyDescent="0.2">
      <c r="A54" s="68" t="s">
        <v>333</v>
      </c>
      <c r="B54" s="804" t="s">
        <v>343</v>
      </c>
      <c r="C54" s="679"/>
      <c r="D54" s="679"/>
      <c r="E54" s="680"/>
      <c r="F54" s="80">
        <v>0.01</v>
      </c>
      <c r="G54" s="321">
        <f>F54*(G35+G43+G117)</f>
        <v>25.822133999999998</v>
      </c>
      <c r="H54" s="383">
        <v>0.01</v>
      </c>
      <c r="I54" s="409">
        <f>H54*(I35+I43+I117)</f>
        <v>26.597043244444439</v>
      </c>
    </row>
    <row r="55" spans="1:10" x14ac:dyDescent="0.2">
      <c r="A55" s="68" t="s">
        <v>334</v>
      </c>
      <c r="B55" s="804" t="s">
        <v>346</v>
      </c>
      <c r="C55" s="679"/>
      <c r="D55" s="679"/>
      <c r="E55" s="680"/>
      <c r="F55" s="80">
        <v>6.0000000000000001E-3</v>
      </c>
      <c r="G55" s="321">
        <f>F55*(G35+G43+G117)</f>
        <v>15.493280399999998</v>
      </c>
      <c r="H55" s="383">
        <v>6.0000000000000001E-3</v>
      </c>
      <c r="I55" s="409">
        <f>H55*(I35+I43+I117)</f>
        <v>15.958225946666664</v>
      </c>
    </row>
    <row r="56" spans="1:10" x14ac:dyDescent="0.2">
      <c r="A56" s="68" t="s">
        <v>335</v>
      </c>
      <c r="B56" s="804" t="s">
        <v>344</v>
      </c>
      <c r="C56" s="679"/>
      <c r="D56" s="679"/>
      <c r="E56" s="680"/>
      <c r="F56" s="80">
        <v>2E-3</v>
      </c>
      <c r="G56" s="321">
        <f>F56*(G35+G43+G117)</f>
        <v>5.1644267999999993</v>
      </c>
      <c r="H56" s="383">
        <v>2E-3</v>
      </c>
      <c r="I56" s="409">
        <f>H56*(I35+I43+I117)</f>
        <v>5.3194086488888876</v>
      </c>
    </row>
    <row r="57" spans="1:10" x14ac:dyDescent="0.2">
      <c r="A57" s="68" t="s">
        <v>336</v>
      </c>
      <c r="B57" s="804" t="s">
        <v>345</v>
      </c>
      <c r="C57" s="679"/>
      <c r="D57" s="679"/>
      <c r="E57" s="680"/>
      <c r="F57" s="80">
        <v>0.08</v>
      </c>
      <c r="G57" s="321">
        <f>F57*(G35+G43+G117)</f>
        <v>206.57707199999999</v>
      </c>
      <c r="H57" s="383">
        <v>0.08</v>
      </c>
      <c r="I57" s="409">
        <f>H57*(I35+I43+I117)</f>
        <v>212.77634595555551</v>
      </c>
    </row>
    <row r="58" spans="1:10" x14ac:dyDescent="0.2">
      <c r="A58" s="73"/>
      <c r="B58" s="752" t="s">
        <v>352</v>
      </c>
      <c r="C58" s="781"/>
      <c r="D58" s="781"/>
      <c r="E58" s="788"/>
      <c r="F58" s="75">
        <f>SUM(F50:F57)</f>
        <v>0.16589999999999999</v>
      </c>
      <c r="G58" s="322">
        <f>SUM(G50:G57)</f>
        <v>428.38920306</v>
      </c>
      <c r="H58" s="384">
        <f>SUM(H50:H57)</f>
        <v>0.1656</v>
      </c>
      <c r="I58" s="410">
        <f>SUM(I50:I57)</f>
        <v>440.44703612799992</v>
      </c>
    </row>
    <row r="59" spans="1:10" x14ac:dyDescent="0.2">
      <c r="A59" s="972" t="s">
        <v>1055</v>
      </c>
      <c r="B59" s="973"/>
      <c r="C59" s="973"/>
      <c r="D59" s="973"/>
      <c r="E59" s="973"/>
      <c r="F59" s="973"/>
      <c r="G59" s="973"/>
      <c r="H59" s="877"/>
      <c r="I59" s="878"/>
    </row>
    <row r="60" spans="1:10" x14ac:dyDescent="0.2">
      <c r="A60" s="972" t="s">
        <v>1056</v>
      </c>
      <c r="B60" s="973"/>
      <c r="C60" s="973"/>
      <c r="D60" s="973"/>
      <c r="E60" s="973"/>
      <c r="F60" s="973"/>
      <c r="G60" s="973"/>
      <c r="H60" s="877"/>
      <c r="I60" s="878"/>
    </row>
    <row r="61" spans="1:10" x14ac:dyDescent="0.2">
      <c r="A61" s="976" t="s">
        <v>936</v>
      </c>
      <c r="B61" s="977"/>
      <c r="C61" s="977"/>
      <c r="D61" s="977"/>
      <c r="E61" s="977"/>
      <c r="F61" s="977"/>
      <c r="G61" s="977"/>
      <c r="H61" s="877"/>
      <c r="I61" s="878"/>
    </row>
    <row r="62" spans="1:10" x14ac:dyDescent="0.2">
      <c r="A62" s="78"/>
      <c r="B62" s="79"/>
      <c r="C62" s="77"/>
      <c r="D62" s="77"/>
      <c r="E62" s="77"/>
      <c r="F62" s="80"/>
      <c r="G62" s="312"/>
      <c r="H62" s="877"/>
      <c r="I62" s="878"/>
    </row>
    <row r="63" spans="1:10" x14ac:dyDescent="0.2">
      <c r="A63" s="678" t="s">
        <v>567</v>
      </c>
      <c r="B63" s="793"/>
      <c r="C63" s="793"/>
      <c r="D63" s="793"/>
      <c r="E63" s="793"/>
      <c r="F63" s="793"/>
      <c r="G63" s="793"/>
      <c r="H63" s="877"/>
      <c r="I63" s="878"/>
    </row>
    <row r="64" spans="1:10" x14ac:dyDescent="0.2">
      <c r="A64" s="68" t="s">
        <v>568</v>
      </c>
      <c r="B64" s="791" t="s">
        <v>569</v>
      </c>
      <c r="C64" s="792"/>
      <c r="D64" s="792"/>
      <c r="E64" s="792"/>
      <c r="F64" s="809"/>
      <c r="G64" s="311" t="s">
        <v>331</v>
      </c>
      <c r="H64" s="380"/>
      <c r="I64" s="401" t="s">
        <v>331</v>
      </c>
    </row>
    <row r="65" spans="1:9" ht="26.25" customHeight="1" x14ac:dyDescent="0.2">
      <c r="A65" s="68" t="s">
        <v>316</v>
      </c>
      <c r="B65" s="804" t="s">
        <v>1079</v>
      </c>
      <c r="C65" s="679"/>
      <c r="D65" s="679"/>
      <c r="E65" s="679"/>
      <c r="F65" s="680"/>
      <c r="G65" s="319">
        <f>((5+2.5)*2*21.5)-6%*G29</f>
        <v>220.09200000000001</v>
      </c>
      <c r="H65" s="388"/>
      <c r="I65" s="404">
        <f>((5+2.5)*2*21.5)-6%*I29</f>
        <v>216.3</v>
      </c>
    </row>
    <row r="66" spans="1:9" ht="26.25" customHeight="1" x14ac:dyDescent="0.2">
      <c r="A66" s="68" t="s">
        <v>318</v>
      </c>
      <c r="B66" s="804" t="s">
        <v>1080</v>
      </c>
      <c r="C66" s="679"/>
      <c r="D66" s="679"/>
      <c r="E66" s="679"/>
      <c r="F66" s="680"/>
      <c r="G66" s="319">
        <f>31.5*21.5</f>
        <v>677.25</v>
      </c>
      <c r="H66" s="388"/>
      <c r="I66" s="404">
        <f>32.7*21.5</f>
        <v>703.05000000000007</v>
      </c>
    </row>
    <row r="67" spans="1:9" x14ac:dyDescent="0.2">
      <c r="A67" s="68" t="s">
        <v>321</v>
      </c>
      <c r="B67" s="804" t="s">
        <v>963</v>
      </c>
      <c r="C67" s="679"/>
      <c r="D67" s="679"/>
      <c r="E67" s="679"/>
      <c r="F67" s="680"/>
      <c r="G67" s="319">
        <v>0</v>
      </c>
      <c r="H67" s="388"/>
      <c r="I67" s="404">
        <v>0</v>
      </c>
    </row>
    <row r="68" spans="1:9" x14ac:dyDescent="0.2">
      <c r="A68" s="68" t="s">
        <v>322</v>
      </c>
      <c r="B68" s="678" t="s">
        <v>930</v>
      </c>
      <c r="C68" s="679"/>
      <c r="D68" s="679"/>
      <c r="E68" s="679"/>
      <c r="F68" s="680"/>
      <c r="G68" s="319">
        <v>0</v>
      </c>
      <c r="H68" s="388"/>
      <c r="I68" s="404">
        <v>0</v>
      </c>
    </row>
    <row r="69" spans="1:9" x14ac:dyDescent="0.2">
      <c r="A69" s="68" t="s">
        <v>333</v>
      </c>
      <c r="B69" s="678" t="s">
        <v>933</v>
      </c>
      <c r="C69" s="793"/>
      <c r="D69" s="793"/>
      <c r="E69" s="793"/>
      <c r="F69" s="818"/>
      <c r="G69" s="319"/>
      <c r="H69" s="388"/>
      <c r="I69" s="404"/>
    </row>
    <row r="70" spans="1:9" x14ac:dyDescent="0.2">
      <c r="A70" s="68" t="s">
        <v>334</v>
      </c>
      <c r="B70" s="678" t="s">
        <v>932</v>
      </c>
      <c r="C70" s="679"/>
      <c r="D70" s="679"/>
      <c r="E70" s="679"/>
      <c r="F70" s="680"/>
      <c r="G70" s="319">
        <v>0</v>
      </c>
      <c r="H70" s="388"/>
      <c r="I70" s="404">
        <v>10.65</v>
      </c>
    </row>
    <row r="71" spans="1:9" x14ac:dyDescent="0.2">
      <c r="A71" s="68" t="s">
        <v>335</v>
      </c>
      <c r="B71" s="678" t="s">
        <v>931</v>
      </c>
      <c r="C71" s="679"/>
      <c r="D71" s="679"/>
      <c r="E71" s="679"/>
      <c r="F71" s="680"/>
      <c r="G71" s="319">
        <v>0</v>
      </c>
      <c r="H71" s="388"/>
      <c r="I71" s="404">
        <v>0</v>
      </c>
    </row>
    <row r="72" spans="1:9" x14ac:dyDescent="0.2">
      <c r="A72" s="71"/>
      <c r="B72" s="752" t="s">
        <v>352</v>
      </c>
      <c r="C72" s="781"/>
      <c r="D72" s="781"/>
      <c r="E72" s="781"/>
      <c r="F72" s="788"/>
      <c r="G72" s="317">
        <f>SUM(G65:G70)</f>
        <v>897.34199999999998</v>
      </c>
      <c r="H72" s="389"/>
      <c r="I72" s="403">
        <f>SUM(I65:I70)</f>
        <v>930.00000000000011</v>
      </c>
    </row>
    <row r="73" spans="1:9" x14ac:dyDescent="0.2">
      <c r="A73" s="972" t="s">
        <v>1062</v>
      </c>
      <c r="B73" s="973"/>
      <c r="C73" s="973"/>
      <c r="D73" s="973"/>
      <c r="E73" s="973"/>
      <c r="F73" s="973"/>
      <c r="G73" s="973"/>
      <c r="H73" s="966"/>
      <c r="I73" s="967"/>
    </row>
    <row r="74" spans="1:9" x14ac:dyDescent="0.2">
      <c r="A74" s="972" t="s">
        <v>1058</v>
      </c>
      <c r="B74" s="973"/>
      <c r="C74" s="973"/>
      <c r="D74" s="973"/>
      <c r="E74" s="973"/>
      <c r="F74" s="973"/>
      <c r="G74" s="973"/>
      <c r="H74" s="966"/>
      <c r="I74" s="967"/>
    </row>
    <row r="75" spans="1:9" x14ac:dyDescent="0.2">
      <c r="A75" s="76"/>
      <c r="B75" s="77"/>
      <c r="C75" s="77"/>
      <c r="D75" s="77"/>
      <c r="E75" s="77"/>
      <c r="F75" s="159"/>
      <c r="G75" s="307"/>
      <c r="H75" s="966"/>
      <c r="I75" s="967"/>
    </row>
    <row r="76" spans="1:9" x14ac:dyDescent="0.2">
      <c r="A76" s="73"/>
      <c r="B76" s="752" t="s">
        <v>892</v>
      </c>
      <c r="C76" s="781"/>
      <c r="D76" s="781"/>
      <c r="E76" s="781"/>
      <c r="F76" s="781"/>
      <c r="G76" s="320"/>
      <c r="H76" s="419"/>
      <c r="I76" s="424"/>
    </row>
    <row r="77" spans="1:9" x14ac:dyDescent="0.2">
      <c r="A77" s="68">
        <v>2</v>
      </c>
      <c r="B77" s="791" t="s">
        <v>571</v>
      </c>
      <c r="C77" s="792"/>
      <c r="D77" s="792"/>
      <c r="E77" s="792"/>
      <c r="F77" s="809"/>
      <c r="G77" s="311" t="s">
        <v>331</v>
      </c>
      <c r="H77" s="380"/>
      <c r="I77" s="401" t="s">
        <v>331</v>
      </c>
    </row>
    <row r="78" spans="1:9" x14ac:dyDescent="0.2">
      <c r="A78" s="68" t="s">
        <v>557</v>
      </c>
      <c r="B78" s="804" t="s">
        <v>572</v>
      </c>
      <c r="C78" s="679"/>
      <c r="D78" s="679"/>
      <c r="E78" s="679"/>
      <c r="F78" s="680"/>
      <c r="G78" s="319">
        <f>G43</f>
        <v>409.33619999999996</v>
      </c>
      <c r="H78" s="388"/>
      <c r="I78" s="404">
        <f>I43</f>
        <v>421.6201733333333</v>
      </c>
    </row>
    <row r="79" spans="1:9" x14ac:dyDescent="0.2">
      <c r="A79" s="68" t="s">
        <v>561</v>
      </c>
      <c r="B79" s="804" t="s">
        <v>562</v>
      </c>
      <c r="C79" s="679"/>
      <c r="D79" s="679"/>
      <c r="E79" s="679"/>
      <c r="F79" s="680"/>
      <c r="G79" s="319">
        <f>G58</f>
        <v>428.38920306</v>
      </c>
      <c r="H79" s="388"/>
      <c r="I79" s="404">
        <f>I58</f>
        <v>440.44703612799992</v>
      </c>
    </row>
    <row r="80" spans="1:9" x14ac:dyDescent="0.2">
      <c r="A80" s="68" t="s">
        <v>568</v>
      </c>
      <c r="B80" s="804" t="s">
        <v>569</v>
      </c>
      <c r="C80" s="679"/>
      <c r="D80" s="679"/>
      <c r="E80" s="679"/>
      <c r="F80" s="680"/>
      <c r="G80" s="319">
        <f>G72</f>
        <v>897.34199999999998</v>
      </c>
      <c r="H80" s="388"/>
      <c r="I80" s="404">
        <f>I72</f>
        <v>930.00000000000011</v>
      </c>
    </row>
    <row r="81" spans="1:9" x14ac:dyDescent="0.2">
      <c r="A81" s="81"/>
      <c r="B81" s="756" t="s">
        <v>352</v>
      </c>
      <c r="C81" s="840"/>
      <c r="D81" s="840"/>
      <c r="E81" s="840"/>
      <c r="F81" s="841"/>
      <c r="G81" s="317">
        <f>SUM(G78:G80)</f>
        <v>1735.0674030599998</v>
      </c>
      <c r="H81" s="389"/>
      <c r="I81" s="403">
        <f>SUM(I78:I80)</f>
        <v>1792.0672094613333</v>
      </c>
    </row>
    <row r="82" spans="1:9" x14ac:dyDescent="0.2">
      <c r="A82" s="838"/>
      <c r="B82" s="839"/>
      <c r="C82" s="839"/>
      <c r="D82" s="839"/>
      <c r="E82" s="839"/>
      <c r="F82" s="839"/>
      <c r="G82" s="839"/>
      <c r="H82" s="968"/>
      <c r="I82" s="969"/>
    </row>
    <row r="83" spans="1:9" x14ac:dyDescent="0.2">
      <c r="A83" s="73"/>
      <c r="B83" s="752" t="s">
        <v>885</v>
      </c>
      <c r="C83" s="781"/>
      <c r="D83" s="781"/>
      <c r="E83" s="781"/>
      <c r="F83" s="752"/>
      <c r="G83" s="753"/>
      <c r="H83" s="754"/>
      <c r="I83" s="755"/>
    </row>
    <row r="84" spans="1:9" ht="25.5" x14ac:dyDescent="0.2">
      <c r="A84" s="68">
        <v>3</v>
      </c>
      <c r="B84" s="791" t="s">
        <v>348</v>
      </c>
      <c r="C84" s="792"/>
      <c r="D84" s="792"/>
      <c r="E84" s="809"/>
      <c r="F84" s="338" t="s">
        <v>563</v>
      </c>
      <c r="G84" s="336" t="s">
        <v>331</v>
      </c>
      <c r="H84" s="383" t="s">
        <v>563</v>
      </c>
      <c r="I84" s="401" t="s">
        <v>331</v>
      </c>
    </row>
    <row r="85" spans="1:9" x14ac:dyDescent="0.2">
      <c r="A85" s="78" t="s">
        <v>316</v>
      </c>
      <c r="B85" s="804" t="s">
        <v>990</v>
      </c>
      <c r="C85" s="679"/>
      <c r="D85" s="679"/>
      <c r="E85" s="680"/>
      <c r="F85" s="256">
        <v>4.1700000000000001E-3</v>
      </c>
      <c r="G85" s="319">
        <f>F85*(G35+G43)</f>
        <v>10.488951953999999</v>
      </c>
      <c r="H85" s="390">
        <v>4.1700000000000001E-3</v>
      </c>
      <c r="I85" s="404">
        <f>H85*(I35+I43)</f>
        <v>10.8037201228</v>
      </c>
    </row>
    <row r="86" spans="1:9" x14ac:dyDescent="0.2">
      <c r="A86" s="78" t="s">
        <v>318</v>
      </c>
      <c r="B86" s="804" t="s">
        <v>976</v>
      </c>
      <c r="C86" s="679"/>
      <c r="D86" s="679"/>
      <c r="E86" s="680"/>
      <c r="F86" s="256">
        <f>F57*F85</f>
        <v>3.3360000000000003E-4</v>
      </c>
      <c r="G86" s="319">
        <f>F86*(G35+G43)</f>
        <v>0.83911615632000003</v>
      </c>
      <c r="H86" s="390">
        <f>H57*H85</f>
        <v>3.3360000000000003E-4</v>
      </c>
      <c r="I86" s="404">
        <f>H86*(I35+I43)</f>
        <v>0.86429760982399995</v>
      </c>
    </row>
    <row r="87" spans="1:9" ht="31.5" customHeight="1" x14ac:dyDescent="0.2">
      <c r="A87" s="68" t="s">
        <v>321</v>
      </c>
      <c r="B87" s="804" t="s">
        <v>1097</v>
      </c>
      <c r="C87" s="679"/>
      <c r="D87" s="679"/>
      <c r="E87" s="680"/>
      <c r="F87" s="256">
        <f xml:space="preserve"> (40%+10%)*F85</f>
        <v>2.085E-3</v>
      </c>
      <c r="G87" s="319">
        <f>F87*(G35+G43)</f>
        <v>5.2444759769999996</v>
      </c>
      <c r="H87" s="390">
        <f xml:space="preserve"> (40%+10%)*H85</f>
        <v>2.085E-3</v>
      </c>
      <c r="I87" s="404">
        <f>H87*(I35+I43)</f>
        <v>5.4018600613999999</v>
      </c>
    </row>
    <row r="88" spans="1:9" ht="25.5" customHeight="1" x14ac:dyDescent="0.2">
      <c r="A88" s="68" t="s">
        <v>322</v>
      </c>
      <c r="B88" s="804" t="s">
        <v>1098</v>
      </c>
      <c r="C88" s="679"/>
      <c r="D88" s="679"/>
      <c r="E88" s="680"/>
      <c r="F88" s="256">
        <f>(7/30)/12</f>
        <v>1.9444444444444445E-2</v>
      </c>
      <c r="G88" s="319">
        <f>F88*(G35+G43)</f>
        <v>48.909314999999992</v>
      </c>
      <c r="H88" s="390">
        <f>(7/30)/12</f>
        <v>1.9444444444444445E-2</v>
      </c>
      <c r="I88" s="404">
        <f>H88*(I35+I43)</f>
        <v>50.377058925925922</v>
      </c>
    </row>
    <row r="89" spans="1:9" ht="23.25" customHeight="1" x14ac:dyDescent="0.2">
      <c r="A89" s="69" t="s">
        <v>333</v>
      </c>
      <c r="B89" s="804" t="s">
        <v>1099</v>
      </c>
      <c r="C89" s="679"/>
      <c r="D89" s="679"/>
      <c r="E89" s="680"/>
      <c r="F89" s="256">
        <f>F58*F88</f>
        <v>3.2258333333333332E-3</v>
      </c>
      <c r="G89" s="319">
        <f>F89*($G$35+$G$43)</f>
        <v>8.1140553584999981</v>
      </c>
      <c r="H89" s="390">
        <f>H58*H88</f>
        <v>3.2200000000000002E-3</v>
      </c>
      <c r="I89" s="404">
        <f>H89*($I$35+$I$43)</f>
        <v>8.3424409581333325</v>
      </c>
    </row>
    <row r="90" spans="1:9" ht="23.25" customHeight="1" x14ac:dyDescent="0.2">
      <c r="A90" s="68" t="s">
        <v>334</v>
      </c>
      <c r="B90" s="804" t="s">
        <v>991</v>
      </c>
      <c r="C90" s="679"/>
      <c r="D90" s="679"/>
      <c r="E90" s="680"/>
      <c r="F90" s="161">
        <f>50%*F88</f>
        <v>9.7222222222222224E-3</v>
      </c>
      <c r="G90" s="319">
        <f>F90*($G$35+$G$43)</f>
        <v>24.454657499999996</v>
      </c>
      <c r="H90" s="383">
        <f>50%*H88</f>
        <v>9.7222222222222224E-3</v>
      </c>
      <c r="I90" s="404">
        <f>H90*($I$35+$I$43)</f>
        <v>25.188529462962961</v>
      </c>
    </row>
    <row r="91" spans="1:9" x14ac:dyDescent="0.2">
      <c r="A91" s="73"/>
      <c r="B91" s="752" t="s">
        <v>352</v>
      </c>
      <c r="C91" s="781"/>
      <c r="D91" s="781"/>
      <c r="E91" s="788"/>
      <c r="F91" s="75">
        <f>SUM(F85:F90)</f>
        <v>3.8981100000000005E-2</v>
      </c>
      <c r="G91" s="317">
        <f>SUM(G85:G90)</f>
        <v>98.050571945819982</v>
      </c>
      <c r="H91" s="384">
        <f>SUM(H85:H90)</f>
        <v>3.8975266666666668E-2</v>
      </c>
      <c r="I91" s="403">
        <f>SUM(I85:I90)</f>
        <v>100.97790714104622</v>
      </c>
    </row>
    <row r="92" spans="1:9" x14ac:dyDescent="0.2">
      <c r="A92" s="83"/>
      <c r="B92" s="84"/>
      <c r="C92" s="84"/>
      <c r="D92" s="84"/>
      <c r="E92" s="84"/>
      <c r="F92" s="163"/>
      <c r="G92" s="315"/>
      <c r="H92" s="970"/>
      <c r="I92" s="971"/>
    </row>
    <row r="93" spans="1:9" x14ac:dyDescent="0.2">
      <c r="A93" s="73"/>
      <c r="B93" s="752" t="s">
        <v>886</v>
      </c>
      <c r="C93" s="781"/>
      <c r="D93" s="781"/>
      <c r="E93" s="781"/>
      <c r="F93" s="752"/>
      <c r="G93" s="753"/>
      <c r="H93" s="754"/>
      <c r="I93" s="755"/>
    </row>
    <row r="94" spans="1:9" ht="22.5" customHeight="1" x14ac:dyDescent="0.2">
      <c r="A94" s="980" t="s">
        <v>1059</v>
      </c>
      <c r="B94" s="973"/>
      <c r="C94" s="973"/>
      <c r="D94" s="973"/>
      <c r="E94" s="973"/>
      <c r="F94" s="973"/>
      <c r="G94" s="973"/>
      <c r="H94" s="877"/>
      <c r="I94" s="878"/>
    </row>
    <row r="95" spans="1:9" x14ac:dyDescent="0.2">
      <c r="A95" s="775"/>
      <c r="B95" s="776"/>
      <c r="C95" s="776"/>
      <c r="D95" s="776"/>
      <c r="E95" s="776"/>
      <c r="F95" s="776"/>
      <c r="G95" s="776"/>
      <c r="H95" s="877"/>
      <c r="I95" s="878"/>
    </row>
    <row r="96" spans="1:9" x14ac:dyDescent="0.2">
      <c r="A96" s="678" t="s">
        <v>902</v>
      </c>
      <c r="B96" s="793"/>
      <c r="C96" s="793"/>
      <c r="D96" s="793"/>
      <c r="E96" s="793"/>
      <c r="F96" s="793"/>
      <c r="G96" s="793"/>
      <c r="H96" s="877"/>
      <c r="I96" s="878"/>
    </row>
    <row r="97" spans="1:9" ht="25.5" x14ac:dyDescent="0.2">
      <c r="A97" s="78" t="s">
        <v>340</v>
      </c>
      <c r="B97" s="791" t="s">
        <v>908</v>
      </c>
      <c r="C97" s="792"/>
      <c r="D97" s="792"/>
      <c r="E97" s="809"/>
      <c r="F97" s="161" t="s">
        <v>563</v>
      </c>
      <c r="G97" s="311" t="s">
        <v>331</v>
      </c>
      <c r="H97" s="383" t="s">
        <v>563</v>
      </c>
      <c r="I97" s="401" t="s">
        <v>331</v>
      </c>
    </row>
    <row r="98" spans="1:9" x14ac:dyDescent="0.2">
      <c r="A98" s="68" t="s">
        <v>316</v>
      </c>
      <c r="B98" s="804" t="s">
        <v>904</v>
      </c>
      <c r="C98" s="679"/>
      <c r="D98" s="679"/>
      <c r="E98" s="679"/>
      <c r="F98" s="161">
        <f>(8.33%+(8.33%*1/3))/12</f>
        <v>9.2555555555555551E-3</v>
      </c>
      <c r="G98" s="319">
        <f>F98*G35</f>
        <v>19.4922</v>
      </c>
      <c r="H98" s="383">
        <f>(8.33%+(8.33%*1/3))/12</f>
        <v>9.2555555555555551E-3</v>
      </c>
      <c r="I98" s="404">
        <f>H98*I35</f>
        <v>20.077151111111107</v>
      </c>
    </row>
    <row r="99" spans="1:9" x14ac:dyDescent="0.2">
      <c r="A99" s="68" t="s">
        <v>318</v>
      </c>
      <c r="B99" s="804" t="s">
        <v>980</v>
      </c>
      <c r="C99" s="679"/>
      <c r="D99" s="679"/>
      <c r="E99" s="679"/>
      <c r="F99" s="161">
        <f>(1/12)/30</f>
        <v>2.7777777777777775E-3</v>
      </c>
      <c r="G99" s="319">
        <f>F99*G35</f>
        <v>5.85</v>
      </c>
      <c r="H99" s="383">
        <f>(1/12)/30</f>
        <v>2.7777777777777775E-3</v>
      </c>
      <c r="I99" s="404">
        <f>H99*I35</f>
        <v>6.0255555555555542</v>
      </c>
    </row>
    <row r="100" spans="1:9" x14ac:dyDescent="0.2">
      <c r="A100" s="68" t="s">
        <v>321</v>
      </c>
      <c r="B100" s="804" t="s">
        <v>981</v>
      </c>
      <c r="C100" s="679"/>
      <c r="D100" s="679"/>
      <c r="E100" s="679"/>
      <c r="F100" s="258">
        <f>1.5%/12</f>
        <v>1.25E-3</v>
      </c>
      <c r="G100" s="319">
        <f>F100*G35</f>
        <v>2.6324999999999998</v>
      </c>
      <c r="H100" s="390">
        <f>1.5%/12</f>
        <v>1.25E-3</v>
      </c>
      <c r="I100" s="404">
        <f>H100*I35</f>
        <v>2.7115</v>
      </c>
    </row>
    <row r="101" spans="1:9" ht="27" customHeight="1" x14ac:dyDescent="0.2">
      <c r="A101" s="68" t="s">
        <v>322</v>
      </c>
      <c r="B101" s="804" t="s">
        <v>986</v>
      </c>
      <c r="C101" s="679"/>
      <c r="D101" s="679"/>
      <c r="E101" s="679"/>
      <c r="F101" s="256">
        <f>8%/12/2</f>
        <v>3.3333333333333335E-3</v>
      </c>
      <c r="G101" s="319">
        <f>F101*G35</f>
        <v>7.0200000000000005</v>
      </c>
      <c r="H101" s="390">
        <f>8%/12/2</f>
        <v>3.3333333333333335E-3</v>
      </c>
      <c r="I101" s="404">
        <f>H101*I35</f>
        <v>7.2306666666666661</v>
      </c>
    </row>
    <row r="102" spans="1:9" ht="27" customHeight="1" x14ac:dyDescent="0.2">
      <c r="A102" s="68" t="s">
        <v>333</v>
      </c>
      <c r="B102" s="804" t="s">
        <v>983</v>
      </c>
      <c r="C102" s="679"/>
      <c r="D102" s="679"/>
      <c r="E102" s="679"/>
      <c r="F102" s="259">
        <f>1.5%/12</f>
        <v>1.25E-3</v>
      </c>
      <c r="G102" s="319">
        <f>F102*G35</f>
        <v>2.6324999999999998</v>
      </c>
      <c r="H102" s="394">
        <f>1.5%/12</f>
        <v>1.25E-3</v>
      </c>
      <c r="I102" s="404">
        <f>H102*I35</f>
        <v>2.7115</v>
      </c>
    </row>
    <row r="103" spans="1:9" x14ac:dyDescent="0.2">
      <c r="A103" s="68" t="s">
        <v>334</v>
      </c>
      <c r="B103" s="804" t="s">
        <v>907</v>
      </c>
      <c r="C103" s="679"/>
      <c r="D103" s="679"/>
      <c r="E103" s="679"/>
      <c r="F103" s="161">
        <f>(5/12)/30</f>
        <v>1.388888888888889E-2</v>
      </c>
      <c r="G103" s="319">
        <f>F103*G35</f>
        <v>29.250000000000004</v>
      </c>
      <c r="H103" s="383">
        <f>(5/12)/30</f>
        <v>1.388888888888889E-2</v>
      </c>
      <c r="I103" s="404">
        <f>H103*I35</f>
        <v>30.127777777777776</v>
      </c>
    </row>
    <row r="104" spans="1:9" x14ac:dyDescent="0.2">
      <c r="A104" s="73"/>
      <c r="B104" s="752" t="s">
        <v>352</v>
      </c>
      <c r="C104" s="781"/>
      <c r="D104" s="781"/>
      <c r="E104" s="788"/>
      <c r="F104" s="75">
        <f>SUM(F98:F103)</f>
        <v>3.1755555555555558E-2</v>
      </c>
      <c r="G104" s="317">
        <f>SUM(G98:G103)</f>
        <v>66.877200000000002</v>
      </c>
      <c r="H104" s="384">
        <f>SUM(H98:H103)</f>
        <v>3.1755555555555558E-2</v>
      </c>
      <c r="I104" s="403">
        <f>SUM(I98:I103)</f>
        <v>68.884151111111109</v>
      </c>
    </row>
    <row r="105" spans="1:9" ht="21" customHeight="1" x14ac:dyDescent="0.2">
      <c r="A105" s="972" t="s">
        <v>1064</v>
      </c>
      <c r="B105" s="973"/>
      <c r="C105" s="973"/>
      <c r="D105" s="973"/>
      <c r="E105" s="973"/>
      <c r="F105" s="973"/>
      <c r="G105" s="973"/>
      <c r="H105" s="877"/>
      <c r="I105" s="878"/>
    </row>
    <row r="106" spans="1:9" x14ac:dyDescent="0.2">
      <c r="A106" s="791"/>
      <c r="B106" s="792"/>
      <c r="C106" s="792"/>
      <c r="D106" s="792"/>
      <c r="E106" s="792"/>
      <c r="F106" s="792"/>
      <c r="G106" s="792"/>
      <c r="H106" s="877"/>
      <c r="I106" s="878"/>
    </row>
    <row r="107" spans="1:9" x14ac:dyDescent="0.2">
      <c r="A107" s="678" t="s">
        <v>911</v>
      </c>
      <c r="B107" s="793"/>
      <c r="C107" s="793"/>
      <c r="D107" s="793"/>
      <c r="E107" s="793"/>
      <c r="F107" s="793"/>
      <c r="G107" s="793"/>
      <c r="H107" s="877"/>
      <c r="I107" s="878"/>
    </row>
    <row r="108" spans="1:9" ht="25.5" x14ac:dyDescent="0.2">
      <c r="A108" s="68" t="s">
        <v>347</v>
      </c>
      <c r="B108" s="791" t="s">
        <v>912</v>
      </c>
      <c r="C108" s="792"/>
      <c r="D108" s="792"/>
      <c r="E108" s="809"/>
      <c r="F108" s="161" t="s">
        <v>563</v>
      </c>
      <c r="G108" s="311" t="s">
        <v>331</v>
      </c>
      <c r="H108" s="383" t="s">
        <v>563</v>
      </c>
      <c r="I108" s="401" t="s">
        <v>331</v>
      </c>
    </row>
    <row r="109" spans="1:9" x14ac:dyDescent="0.2">
      <c r="A109" s="68" t="s">
        <v>316</v>
      </c>
      <c r="B109" s="804" t="s">
        <v>913</v>
      </c>
      <c r="C109" s="679"/>
      <c r="D109" s="679"/>
      <c r="E109" s="680"/>
      <c r="F109" s="143"/>
      <c r="G109" s="319"/>
      <c r="H109" s="421"/>
      <c r="I109" s="404"/>
    </row>
    <row r="110" spans="1:9" x14ac:dyDescent="0.2">
      <c r="A110" s="73"/>
      <c r="B110" s="752" t="s">
        <v>352</v>
      </c>
      <c r="C110" s="781"/>
      <c r="D110" s="781"/>
      <c r="E110" s="788"/>
      <c r="F110" s="756"/>
      <c r="G110" s="757"/>
      <c r="H110" s="879"/>
      <c r="I110" s="880"/>
    </row>
    <row r="111" spans="1:9" ht="15" customHeight="1" x14ac:dyDescent="0.2">
      <c r="A111" s="972" t="s">
        <v>1075</v>
      </c>
      <c r="B111" s="973"/>
      <c r="C111" s="973"/>
      <c r="D111" s="973"/>
      <c r="E111" s="973"/>
      <c r="F111" s="973"/>
      <c r="G111" s="973"/>
      <c r="H111" s="877"/>
      <c r="I111" s="878"/>
    </row>
    <row r="112" spans="1:9" x14ac:dyDescent="0.2">
      <c r="A112" s="775"/>
      <c r="B112" s="776"/>
      <c r="C112" s="776"/>
      <c r="D112" s="776"/>
      <c r="E112" s="776"/>
      <c r="F112" s="776"/>
      <c r="G112" s="776"/>
      <c r="H112" s="877"/>
      <c r="I112" s="878"/>
    </row>
    <row r="113" spans="1:9" x14ac:dyDescent="0.2">
      <c r="A113" s="73"/>
      <c r="B113" s="752" t="s">
        <v>887</v>
      </c>
      <c r="C113" s="781"/>
      <c r="D113" s="781"/>
      <c r="E113" s="781"/>
      <c r="F113" s="752"/>
      <c r="G113" s="753"/>
      <c r="H113" s="754"/>
      <c r="I113" s="755"/>
    </row>
    <row r="114" spans="1:9" ht="25.5" x14ac:dyDescent="0.2">
      <c r="A114" s="68">
        <v>4</v>
      </c>
      <c r="B114" s="791" t="s">
        <v>574</v>
      </c>
      <c r="C114" s="792"/>
      <c r="D114" s="792"/>
      <c r="E114" s="809"/>
      <c r="F114" s="161" t="s">
        <v>563</v>
      </c>
      <c r="G114" s="311" t="s">
        <v>331</v>
      </c>
      <c r="H114" s="383" t="s">
        <v>563</v>
      </c>
      <c r="I114" s="401" t="s">
        <v>331</v>
      </c>
    </row>
    <row r="115" spans="1:9" x14ac:dyDescent="0.2">
      <c r="A115" s="68" t="s">
        <v>340</v>
      </c>
      <c r="B115" s="819" t="s">
        <v>908</v>
      </c>
      <c r="C115" s="819"/>
      <c r="D115" s="819"/>
      <c r="E115" s="819"/>
      <c r="F115" s="161">
        <f>F104</f>
        <v>3.1755555555555558E-2</v>
      </c>
      <c r="G115" s="321">
        <f>G104</f>
        <v>66.877200000000002</v>
      </c>
      <c r="H115" s="383">
        <f>H104</f>
        <v>3.1755555555555558E-2</v>
      </c>
      <c r="I115" s="409">
        <f>I104</f>
        <v>68.884151111111109</v>
      </c>
    </row>
    <row r="116" spans="1:9" x14ac:dyDescent="0.2">
      <c r="A116" s="68" t="s">
        <v>347</v>
      </c>
      <c r="B116" s="819" t="s">
        <v>912</v>
      </c>
      <c r="C116" s="819"/>
      <c r="D116" s="819"/>
      <c r="E116" s="819"/>
      <c r="F116" s="161"/>
      <c r="G116" s="325"/>
      <c r="H116" s="383"/>
      <c r="I116" s="415"/>
    </row>
    <row r="117" spans="1:9" x14ac:dyDescent="0.2">
      <c r="A117" s="73" t="s">
        <v>352</v>
      </c>
      <c r="B117" s="752" t="s">
        <v>352</v>
      </c>
      <c r="C117" s="781"/>
      <c r="D117" s="781"/>
      <c r="E117" s="788"/>
      <c r="F117" s="75"/>
      <c r="G117" s="317">
        <f>SUM(G115:G116)</f>
        <v>66.877200000000002</v>
      </c>
      <c r="H117" s="384"/>
      <c r="I117" s="403">
        <f>SUM(I115:I116)</f>
        <v>68.884151111111109</v>
      </c>
    </row>
    <row r="118" spans="1:9" x14ac:dyDescent="0.2">
      <c r="A118" s="78"/>
      <c r="B118" s="86"/>
      <c r="C118" s="86"/>
      <c r="D118" s="86"/>
      <c r="E118" s="86"/>
      <c r="F118" s="80"/>
      <c r="G118" s="326"/>
      <c r="H118" s="964"/>
      <c r="I118" s="965"/>
    </row>
    <row r="119" spans="1:9" x14ac:dyDescent="0.2">
      <c r="A119" s="132"/>
      <c r="B119" s="752" t="s">
        <v>888</v>
      </c>
      <c r="C119" s="781"/>
      <c r="D119" s="781"/>
      <c r="E119" s="781"/>
      <c r="F119" s="781"/>
      <c r="G119" s="320"/>
      <c r="H119" s="419"/>
      <c r="I119" s="424"/>
    </row>
    <row r="120" spans="1:9" x14ac:dyDescent="0.2">
      <c r="A120" s="68">
        <v>5</v>
      </c>
      <c r="B120" s="678" t="s">
        <v>338</v>
      </c>
      <c r="C120" s="793"/>
      <c r="D120" s="793"/>
      <c r="E120" s="793"/>
      <c r="F120" s="818"/>
      <c r="G120" s="311" t="s">
        <v>331</v>
      </c>
      <c r="H120" s="380"/>
      <c r="I120" s="401" t="s">
        <v>331</v>
      </c>
    </row>
    <row r="121" spans="1:9" x14ac:dyDescent="0.2">
      <c r="A121" s="68" t="s">
        <v>316</v>
      </c>
      <c r="B121" s="804" t="s">
        <v>339</v>
      </c>
      <c r="C121" s="679"/>
      <c r="D121" s="679"/>
      <c r="E121" s="679"/>
      <c r="F121" s="680"/>
      <c r="G121" s="327">
        <f>Uniformes!J23</f>
        <v>55.335000000000008</v>
      </c>
      <c r="H121" s="395"/>
      <c r="I121" s="414">
        <f>Uniformes!J23</f>
        <v>55.335000000000008</v>
      </c>
    </row>
    <row r="122" spans="1:9" x14ac:dyDescent="0.2">
      <c r="A122" s="68" t="s">
        <v>318</v>
      </c>
      <c r="B122" s="804" t="s">
        <v>583</v>
      </c>
      <c r="C122" s="679"/>
      <c r="D122" s="679"/>
      <c r="E122" s="679"/>
      <c r="F122" s="680"/>
      <c r="G122" s="327"/>
      <c r="H122" s="395"/>
      <c r="I122" s="414"/>
    </row>
    <row r="123" spans="1:9" x14ac:dyDescent="0.2">
      <c r="A123" s="78" t="s">
        <v>321</v>
      </c>
      <c r="B123" s="804" t="s">
        <v>584</v>
      </c>
      <c r="C123" s="679"/>
      <c r="D123" s="679"/>
      <c r="E123" s="679"/>
      <c r="F123" s="680"/>
      <c r="G123" s="327">
        <f>'Ferramentas - Equipts'!F110</f>
        <v>44.99</v>
      </c>
      <c r="H123" s="395"/>
      <c r="I123" s="414">
        <f>'Ferramentas - Equipts'!F110</f>
        <v>44.99</v>
      </c>
    </row>
    <row r="124" spans="1:9" x14ac:dyDescent="0.2">
      <c r="A124" s="78" t="s">
        <v>322</v>
      </c>
      <c r="B124" s="804" t="s">
        <v>554</v>
      </c>
      <c r="C124" s="679"/>
      <c r="D124" s="679"/>
      <c r="E124" s="679"/>
      <c r="F124" s="680"/>
      <c r="G124" s="327"/>
      <c r="H124" s="395"/>
      <c r="I124" s="414"/>
    </row>
    <row r="125" spans="1:9" x14ac:dyDescent="0.2">
      <c r="A125" s="73"/>
      <c r="B125" s="752" t="s">
        <v>352</v>
      </c>
      <c r="C125" s="781"/>
      <c r="D125" s="781"/>
      <c r="E125" s="781"/>
      <c r="F125" s="788"/>
      <c r="G125" s="317">
        <f>SUM(G121:G124)</f>
        <v>100.32500000000002</v>
      </c>
      <c r="H125" s="389"/>
      <c r="I125" s="403">
        <f>SUM(I121:I124)</f>
        <v>100.32500000000002</v>
      </c>
    </row>
    <row r="126" spans="1:9" x14ac:dyDescent="0.2">
      <c r="A126" s="845" t="s">
        <v>1035</v>
      </c>
      <c r="B126" s="846"/>
      <c r="C126" s="846"/>
      <c r="D126" s="846"/>
      <c r="E126" s="846"/>
      <c r="F126" s="846"/>
      <c r="G126" s="846"/>
      <c r="H126" s="877"/>
      <c r="I126" s="878"/>
    </row>
    <row r="127" spans="1:9" x14ac:dyDescent="0.2">
      <c r="A127" s="129"/>
      <c r="B127" s="84"/>
      <c r="C127" s="84"/>
      <c r="D127" s="84"/>
      <c r="E127" s="84"/>
      <c r="F127" s="80"/>
      <c r="G127" s="328"/>
      <c r="H127" s="877"/>
      <c r="I127" s="878"/>
    </row>
    <row r="128" spans="1:9" x14ac:dyDescent="0.2">
      <c r="A128" s="73"/>
      <c r="B128" s="752" t="s">
        <v>891</v>
      </c>
      <c r="C128" s="781"/>
      <c r="D128" s="781"/>
      <c r="E128" s="781"/>
      <c r="F128" s="781"/>
      <c r="G128" s="320"/>
      <c r="H128" s="419"/>
      <c r="I128" s="424"/>
    </row>
    <row r="129" spans="1:9" x14ac:dyDescent="0.2">
      <c r="A129" s="68">
        <v>6</v>
      </c>
      <c r="B129" s="791" t="s">
        <v>349</v>
      </c>
      <c r="C129" s="792"/>
      <c r="D129" s="809"/>
      <c r="E129" s="874" t="s">
        <v>563</v>
      </c>
      <c r="F129" s="874"/>
      <c r="G129" s="329" t="s">
        <v>331</v>
      </c>
      <c r="H129" s="396"/>
      <c r="I129" s="402" t="s">
        <v>331</v>
      </c>
    </row>
    <row r="130" spans="1:9" x14ac:dyDescent="0.2">
      <c r="A130" s="68" t="s">
        <v>316</v>
      </c>
      <c r="B130" s="804" t="s">
        <v>350</v>
      </c>
      <c r="C130" s="679"/>
      <c r="D130" s="680"/>
      <c r="E130" s="847">
        <f>ADM</f>
        <v>2.3199999999999998E-2</v>
      </c>
      <c r="F130" s="848"/>
      <c r="G130" s="327">
        <f>(G35+G81+G91+G117+G125)*E130</f>
        <v>95.266628060135005</v>
      </c>
      <c r="H130" s="395"/>
      <c r="I130" s="414">
        <f>(I35+I81+I91+I117+I125)*E130</f>
        <v>98.169739010952966</v>
      </c>
    </row>
    <row r="131" spans="1:9" x14ac:dyDescent="0.2">
      <c r="A131" s="68" t="s">
        <v>318</v>
      </c>
      <c r="B131" s="804" t="s">
        <v>576</v>
      </c>
      <c r="C131" s="679"/>
      <c r="D131" s="680"/>
      <c r="E131" s="847">
        <f>LUCRO_ENGEMIL</f>
        <v>2.3300000000000001E-2</v>
      </c>
      <c r="F131" s="848"/>
      <c r="G131" s="327">
        <f>(G35+G81+G91+G117+G125+G130)*E131</f>
        <v>97.896972511436758</v>
      </c>
      <c r="H131" s="395"/>
      <c r="I131" s="414">
        <f>(I35+I81+I91+I117+I125+I130)*E131</f>
        <v>100.88023935667954</v>
      </c>
    </row>
    <row r="132" spans="1:9" x14ac:dyDescent="0.2">
      <c r="A132" s="68" t="s">
        <v>321</v>
      </c>
      <c r="B132" s="804" t="s">
        <v>351</v>
      </c>
      <c r="C132" s="679"/>
      <c r="D132" s="680"/>
      <c r="E132" s="847">
        <f>SUM(E133:F134)</f>
        <v>0.10150000000000001</v>
      </c>
      <c r="F132" s="848"/>
      <c r="G132" s="325"/>
      <c r="H132" s="397"/>
      <c r="I132" s="415"/>
    </row>
    <row r="133" spans="1:9" ht="27" customHeight="1" x14ac:dyDescent="0.2">
      <c r="A133" s="85"/>
      <c r="B133" s="819" t="s">
        <v>971</v>
      </c>
      <c r="C133" s="819"/>
      <c r="D133" s="819"/>
      <c r="E133" s="847">
        <v>8.1500000000000003E-2</v>
      </c>
      <c r="F133" s="848"/>
      <c r="G133" s="327">
        <f>E133*G147</f>
        <v>389.99212878080959</v>
      </c>
      <c r="H133" s="395"/>
      <c r="I133" s="414">
        <f>E133*I147</f>
        <v>401.87656767458157</v>
      </c>
    </row>
    <row r="134" spans="1:9" ht="12.75" customHeight="1" x14ac:dyDescent="0.2">
      <c r="A134" s="85"/>
      <c r="B134" s="819" t="s">
        <v>972</v>
      </c>
      <c r="C134" s="819"/>
      <c r="D134" s="819"/>
      <c r="E134" s="847">
        <v>0.02</v>
      </c>
      <c r="F134" s="848"/>
      <c r="G134" s="327">
        <f>E134*G147</f>
        <v>95.703589884861245</v>
      </c>
      <c r="H134" s="395"/>
      <c r="I134" s="414">
        <f>E134*I147</f>
        <v>98.620016607259274</v>
      </c>
    </row>
    <row r="135" spans="1:9" x14ac:dyDescent="0.2">
      <c r="A135" s="73"/>
      <c r="B135" s="752" t="s">
        <v>352</v>
      </c>
      <c r="C135" s="781"/>
      <c r="D135" s="788"/>
      <c r="E135" s="849">
        <f>E130+E131+E132</f>
        <v>0.14800000000000002</v>
      </c>
      <c r="F135" s="788"/>
      <c r="G135" s="330">
        <f>SUM(G130:G134)</f>
        <v>678.85931923724252</v>
      </c>
      <c r="H135" s="389"/>
      <c r="I135" s="403">
        <f>SUM(I130:I134)</f>
        <v>699.54656264947334</v>
      </c>
    </row>
    <row r="136" spans="1:9" x14ac:dyDescent="0.2">
      <c r="A136" s="972" t="s">
        <v>1076</v>
      </c>
      <c r="B136" s="973"/>
      <c r="C136" s="973"/>
      <c r="D136" s="973"/>
      <c r="E136" s="973"/>
      <c r="F136" s="973"/>
      <c r="G136" s="973"/>
      <c r="H136" s="877"/>
      <c r="I136" s="878"/>
    </row>
    <row r="137" spans="1:9" x14ac:dyDescent="0.2">
      <c r="A137" s="972" t="s">
        <v>1077</v>
      </c>
      <c r="B137" s="973"/>
      <c r="C137" s="973"/>
      <c r="D137" s="973"/>
      <c r="E137" s="973"/>
      <c r="F137" s="973"/>
      <c r="G137" s="973"/>
      <c r="H137" s="877"/>
      <c r="I137" s="878"/>
    </row>
    <row r="138" spans="1:9" x14ac:dyDescent="0.2">
      <c r="A138" s="132"/>
      <c r="B138" s="781" t="s">
        <v>577</v>
      </c>
      <c r="C138" s="781"/>
      <c r="D138" s="781"/>
      <c r="E138" s="781"/>
      <c r="F138" s="781"/>
      <c r="G138" s="320"/>
      <c r="H138" s="754"/>
      <c r="I138" s="755"/>
    </row>
    <row r="139" spans="1:9" x14ac:dyDescent="0.2">
      <c r="A139" s="87"/>
      <c r="B139" s="791" t="s">
        <v>353</v>
      </c>
      <c r="C139" s="792"/>
      <c r="D139" s="792"/>
      <c r="E139" s="792"/>
      <c r="F139" s="809"/>
      <c r="G139" s="310" t="s">
        <v>354</v>
      </c>
      <c r="H139" s="398"/>
      <c r="I139" s="417" t="s">
        <v>354</v>
      </c>
    </row>
    <row r="140" spans="1:9" x14ac:dyDescent="0.2">
      <c r="A140" s="68" t="s">
        <v>316</v>
      </c>
      <c r="B140" s="844" t="s">
        <v>947</v>
      </c>
      <c r="C140" s="842"/>
      <c r="D140" s="842"/>
      <c r="E140" s="842"/>
      <c r="F140" s="843"/>
      <c r="G140" s="331">
        <f>G35</f>
        <v>2106</v>
      </c>
      <c r="H140" s="399"/>
      <c r="I140" s="418">
        <f>I35</f>
        <v>2169.1999999999998</v>
      </c>
    </row>
    <row r="141" spans="1:9" x14ac:dyDescent="0.2">
      <c r="A141" s="68" t="s">
        <v>318</v>
      </c>
      <c r="B141" s="844" t="s">
        <v>948</v>
      </c>
      <c r="C141" s="842"/>
      <c r="D141" s="842"/>
      <c r="E141" s="842"/>
      <c r="F141" s="843"/>
      <c r="G141" s="331">
        <f>G81</f>
        <v>1735.0674030599998</v>
      </c>
      <c r="H141" s="399"/>
      <c r="I141" s="418">
        <f>I81</f>
        <v>1792.0672094613333</v>
      </c>
    </row>
    <row r="142" spans="1:9" x14ac:dyDescent="0.2">
      <c r="A142" s="68" t="s">
        <v>321</v>
      </c>
      <c r="B142" s="844" t="s">
        <v>970</v>
      </c>
      <c r="C142" s="842"/>
      <c r="D142" s="842"/>
      <c r="E142" s="842"/>
      <c r="F142" s="843"/>
      <c r="G142" s="331">
        <f>G91</f>
        <v>98.050571945819982</v>
      </c>
      <c r="H142" s="399"/>
      <c r="I142" s="418">
        <f>I91</f>
        <v>100.97790714104622</v>
      </c>
    </row>
    <row r="143" spans="1:9" x14ac:dyDescent="0.2">
      <c r="A143" s="68" t="s">
        <v>322</v>
      </c>
      <c r="B143" s="844" t="s">
        <v>950</v>
      </c>
      <c r="C143" s="842"/>
      <c r="D143" s="842"/>
      <c r="E143" s="842"/>
      <c r="F143" s="843"/>
      <c r="G143" s="331">
        <f>G117</f>
        <v>66.877200000000002</v>
      </c>
      <c r="H143" s="399"/>
      <c r="I143" s="418">
        <f>I117</f>
        <v>68.884151111111109</v>
      </c>
    </row>
    <row r="144" spans="1:9" x14ac:dyDescent="0.2">
      <c r="A144" s="68"/>
      <c r="B144" s="842" t="s">
        <v>951</v>
      </c>
      <c r="C144" s="842"/>
      <c r="D144" s="842"/>
      <c r="E144" s="842"/>
      <c r="F144" s="843"/>
      <c r="G144" s="331">
        <f>G125</f>
        <v>100.32500000000002</v>
      </c>
      <c r="H144" s="399"/>
      <c r="I144" s="418">
        <f>I125</f>
        <v>100.32500000000002</v>
      </c>
    </row>
    <row r="145" spans="1:9" x14ac:dyDescent="0.2">
      <c r="A145" s="137"/>
      <c r="B145" s="822" t="s">
        <v>578</v>
      </c>
      <c r="C145" s="822"/>
      <c r="D145" s="822"/>
      <c r="E145" s="822"/>
      <c r="F145" s="823"/>
      <c r="G145" s="331">
        <f>SUM(G140:G144)</f>
        <v>4106.3201750058197</v>
      </c>
      <c r="H145" s="399"/>
      <c r="I145" s="418">
        <f>SUM(I140:I144)</f>
        <v>4231.4542677134905</v>
      </c>
    </row>
    <row r="146" spans="1:9" x14ac:dyDescent="0.2">
      <c r="A146" s="136" t="s">
        <v>334</v>
      </c>
      <c r="B146" s="844" t="s">
        <v>952</v>
      </c>
      <c r="C146" s="842"/>
      <c r="D146" s="842"/>
      <c r="E146" s="842"/>
      <c r="F146" s="843"/>
      <c r="G146" s="331">
        <f>G135</f>
        <v>678.85931923724252</v>
      </c>
      <c r="H146" s="399"/>
      <c r="I146" s="418">
        <f>I135</f>
        <v>699.54656264947334</v>
      </c>
    </row>
    <row r="147" spans="1:9" ht="16.5" thickBot="1" x14ac:dyDescent="0.25">
      <c r="A147" s="89"/>
      <c r="B147" s="766" t="s">
        <v>355</v>
      </c>
      <c r="C147" s="767"/>
      <c r="D147" s="767"/>
      <c r="E147" s="767"/>
      <c r="F147" s="768"/>
      <c r="G147" s="428">
        <f>(G130+G131+G145)/(1-E132)</f>
        <v>4785.1794942430624</v>
      </c>
      <c r="H147" s="429"/>
      <c r="I147" s="430">
        <f>(I130+I131+I145)/(1-E132)</f>
        <v>4931.0008303629638</v>
      </c>
    </row>
  </sheetData>
  <mergeCells count="221">
    <mergeCell ref="H5:I9"/>
    <mergeCell ref="H14:I14"/>
    <mergeCell ref="H19:I19"/>
    <mergeCell ref="H20:I20"/>
    <mergeCell ref="H21:I21"/>
    <mergeCell ref="H2:I4"/>
    <mergeCell ref="H10:I10"/>
    <mergeCell ref="H11:I11"/>
    <mergeCell ref="H12:I12"/>
    <mergeCell ref="H13:I13"/>
    <mergeCell ref="H15:I15"/>
    <mergeCell ref="H16:I16"/>
    <mergeCell ref="H17:I18"/>
    <mergeCell ref="H22:I22"/>
    <mergeCell ref="H23:I23"/>
    <mergeCell ref="F16:G16"/>
    <mergeCell ref="A19:G19"/>
    <mergeCell ref="A20:G20"/>
    <mergeCell ref="A17:E17"/>
    <mergeCell ref="F17:G18"/>
    <mergeCell ref="B28:E28"/>
    <mergeCell ref="H24:I24"/>
    <mergeCell ref="H25:I25"/>
    <mergeCell ref="H26:I26"/>
    <mergeCell ref="B103:E103"/>
    <mergeCell ref="A105:G105"/>
    <mergeCell ref="A106:G106"/>
    <mergeCell ref="A107:G107"/>
    <mergeCell ref="B113:E113"/>
    <mergeCell ref="B119:F119"/>
    <mergeCell ref="A5:G5"/>
    <mergeCell ref="A18:E18"/>
    <mergeCell ref="B97:E97"/>
    <mergeCell ref="B98:E98"/>
    <mergeCell ref="B99:E99"/>
    <mergeCell ref="B100:E100"/>
    <mergeCell ref="B10:E10"/>
    <mergeCell ref="F10:G10"/>
    <mergeCell ref="B11:E11"/>
    <mergeCell ref="F11:G11"/>
    <mergeCell ref="A21:G21"/>
    <mergeCell ref="B22:E22"/>
    <mergeCell ref="F22:G22"/>
    <mergeCell ref="B23:E23"/>
    <mergeCell ref="F23:G23"/>
    <mergeCell ref="B24:E24"/>
    <mergeCell ref="F24:G24"/>
    <mergeCell ref="A16:D16"/>
    <mergeCell ref="A1:G1"/>
    <mergeCell ref="A96:G96"/>
    <mergeCell ref="A95:G95"/>
    <mergeCell ref="A94:G94"/>
    <mergeCell ref="B87:E87"/>
    <mergeCell ref="B88:E88"/>
    <mergeCell ref="B89:E89"/>
    <mergeCell ref="B90:E90"/>
    <mergeCell ref="B84:E84"/>
    <mergeCell ref="B85:E85"/>
    <mergeCell ref="B86:E86"/>
    <mergeCell ref="A7:G7"/>
    <mergeCell ref="A8:G8"/>
    <mergeCell ref="A6:G6"/>
    <mergeCell ref="B12:E12"/>
    <mergeCell ref="F12:G12"/>
    <mergeCell ref="B13:E13"/>
    <mergeCell ref="F13:G13"/>
    <mergeCell ref="A14:G14"/>
    <mergeCell ref="A15:D15"/>
    <mergeCell ref="F15:G15"/>
    <mergeCell ref="A9:G9"/>
    <mergeCell ref="A2:G3"/>
    <mergeCell ref="A4:G4"/>
    <mergeCell ref="B29:E29"/>
    <mergeCell ref="B30:E30"/>
    <mergeCell ref="B31:E31"/>
    <mergeCell ref="B32:E32"/>
    <mergeCell ref="B33:E33"/>
    <mergeCell ref="B25:E25"/>
    <mergeCell ref="F25:G25"/>
    <mergeCell ref="B26:E26"/>
    <mergeCell ref="F26:G26"/>
    <mergeCell ref="B27:E27"/>
    <mergeCell ref="B34:E34"/>
    <mergeCell ref="B35:E35"/>
    <mergeCell ref="A37:G37"/>
    <mergeCell ref="A36:G36"/>
    <mergeCell ref="A46:G46"/>
    <mergeCell ref="A47:G47"/>
    <mergeCell ref="B53:E53"/>
    <mergeCell ref="B54:E54"/>
    <mergeCell ref="B55:E55"/>
    <mergeCell ref="A45:G45"/>
    <mergeCell ref="A48:G48"/>
    <mergeCell ref="B49:E49"/>
    <mergeCell ref="B50:E50"/>
    <mergeCell ref="B51:E51"/>
    <mergeCell ref="B38:E38"/>
    <mergeCell ref="B56:E56"/>
    <mergeCell ref="B57:E57"/>
    <mergeCell ref="A82:G82"/>
    <mergeCell ref="B52:E52"/>
    <mergeCell ref="B81:F81"/>
    <mergeCell ref="B64:F64"/>
    <mergeCell ref="B65:F65"/>
    <mergeCell ref="B66:F66"/>
    <mergeCell ref="B67:F67"/>
    <mergeCell ref="B68:F68"/>
    <mergeCell ref="B93:E93"/>
    <mergeCell ref="B147:F147"/>
    <mergeCell ref="B142:F142"/>
    <mergeCell ref="B143:F143"/>
    <mergeCell ref="B144:F144"/>
    <mergeCell ref="B146:F146"/>
    <mergeCell ref="B139:F139"/>
    <mergeCell ref="B140:F140"/>
    <mergeCell ref="B141:F141"/>
    <mergeCell ref="E135:F135"/>
    <mergeCell ref="A136:G136"/>
    <mergeCell ref="A137:G137"/>
    <mergeCell ref="B138:F138"/>
    <mergeCell ref="B145:F145"/>
    <mergeCell ref="B101:E101"/>
    <mergeCell ref="A112:G112"/>
    <mergeCell ref="B120:F120"/>
    <mergeCell ref="B121:F121"/>
    <mergeCell ref="B102:E102"/>
    <mergeCell ref="B108:E108"/>
    <mergeCell ref="B109:E109"/>
    <mergeCell ref="A111:G111"/>
    <mergeCell ref="B114:E114"/>
    <mergeCell ref="B115:E115"/>
    <mergeCell ref="B104:E104"/>
    <mergeCell ref="B110:E110"/>
    <mergeCell ref="B117:E117"/>
    <mergeCell ref="B125:F125"/>
    <mergeCell ref="B135:D135"/>
    <mergeCell ref="B132:D132"/>
    <mergeCell ref="E132:F132"/>
    <mergeCell ref="B133:D133"/>
    <mergeCell ref="E133:F133"/>
    <mergeCell ref="B134:D134"/>
    <mergeCell ref="E134:F134"/>
    <mergeCell ref="B129:D129"/>
    <mergeCell ref="E129:F129"/>
    <mergeCell ref="B130:D130"/>
    <mergeCell ref="E130:F130"/>
    <mergeCell ref="B131:D131"/>
    <mergeCell ref="E131:F131"/>
    <mergeCell ref="B123:F123"/>
    <mergeCell ref="B124:F124"/>
    <mergeCell ref="A126:G126"/>
    <mergeCell ref="B122:F122"/>
    <mergeCell ref="B116:E116"/>
    <mergeCell ref="H47:I47"/>
    <mergeCell ref="H48:I48"/>
    <mergeCell ref="H38:I38"/>
    <mergeCell ref="F38:G38"/>
    <mergeCell ref="F27:G27"/>
    <mergeCell ref="H27:I27"/>
    <mergeCell ref="H59:I59"/>
    <mergeCell ref="H60:I60"/>
    <mergeCell ref="H61:I61"/>
    <mergeCell ref="H36:I36"/>
    <mergeCell ref="H37:I37"/>
    <mergeCell ref="H44:I44"/>
    <mergeCell ref="H45:I45"/>
    <mergeCell ref="H46:I46"/>
    <mergeCell ref="A59:G59"/>
    <mergeCell ref="A60:G60"/>
    <mergeCell ref="A61:G61"/>
    <mergeCell ref="B58:E58"/>
    <mergeCell ref="A39:G39"/>
    <mergeCell ref="B40:F40"/>
    <mergeCell ref="B41:E41"/>
    <mergeCell ref="B42:E42"/>
    <mergeCell ref="A43:E43"/>
    <mergeCell ref="A44:G44"/>
    <mergeCell ref="H62:I62"/>
    <mergeCell ref="H63:I63"/>
    <mergeCell ref="H73:I73"/>
    <mergeCell ref="H74:I74"/>
    <mergeCell ref="H75:I75"/>
    <mergeCell ref="H82:I82"/>
    <mergeCell ref="F83:G83"/>
    <mergeCell ref="H83:I83"/>
    <mergeCell ref="H92:I92"/>
    <mergeCell ref="B69:F69"/>
    <mergeCell ref="A63:G63"/>
    <mergeCell ref="B77:F77"/>
    <mergeCell ref="B78:F78"/>
    <mergeCell ref="B79:F79"/>
    <mergeCell ref="B80:F80"/>
    <mergeCell ref="B76:F76"/>
    <mergeCell ref="B83:E83"/>
    <mergeCell ref="B70:F70"/>
    <mergeCell ref="B71:F71"/>
    <mergeCell ref="B72:F72"/>
    <mergeCell ref="A73:G73"/>
    <mergeCell ref="A74:G74"/>
    <mergeCell ref="B91:E91"/>
    <mergeCell ref="H93:I93"/>
    <mergeCell ref="F93:G93"/>
    <mergeCell ref="H94:I94"/>
    <mergeCell ref="H95:I95"/>
    <mergeCell ref="H96:I96"/>
    <mergeCell ref="H105:I105"/>
    <mergeCell ref="H106:I106"/>
    <mergeCell ref="H107:I107"/>
    <mergeCell ref="F110:G110"/>
    <mergeCell ref="H110:I110"/>
    <mergeCell ref="H138:I138"/>
    <mergeCell ref="H111:I111"/>
    <mergeCell ref="H112:I112"/>
    <mergeCell ref="F113:G113"/>
    <mergeCell ref="H113:I113"/>
    <mergeCell ref="H118:I118"/>
    <mergeCell ref="H126:I126"/>
    <mergeCell ref="H127:I127"/>
    <mergeCell ref="H136:I136"/>
    <mergeCell ref="H137:I137"/>
    <mergeCell ref="B128:F128"/>
  </mergeCells>
  <printOptions horizontalCentered="1"/>
  <pageMargins left="0.53149606299212604" right="0.53149606299212604" top="1.1811023622047245" bottom="0.98425196850393704" header="0" footer="0"/>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16</vt:i4>
      </vt:variant>
    </vt:vector>
  </HeadingPairs>
  <TitlesOfParts>
    <vt:vector size="33" baseType="lpstr">
      <vt:lpstr>Relação Mat. Consumo Repos. (2</vt:lpstr>
      <vt:lpstr>Mat. Dimerização</vt:lpstr>
      <vt:lpstr>RESUMO (MO+MAT)</vt:lpstr>
      <vt:lpstr>Eng. Eletric</vt:lpstr>
      <vt:lpstr>Encarreg</vt:lpstr>
      <vt:lpstr>Tec. Eletron.</vt:lpstr>
      <vt:lpstr>Téc. Eletromec.</vt:lpstr>
      <vt:lpstr>Eletricista</vt:lpstr>
      <vt:lpstr>Bombeiro</vt:lpstr>
      <vt:lpstr>Art. Manut</vt:lpstr>
      <vt:lpstr>Elet. Plant-D</vt:lpstr>
      <vt:lpstr>Elet. Plant-N</vt:lpstr>
      <vt:lpstr>Aj. Manut</vt:lpstr>
      <vt:lpstr>Téc. Adm</vt:lpstr>
      <vt:lpstr>MAT.</vt:lpstr>
      <vt:lpstr>Ferramentas - Equipts</vt:lpstr>
      <vt:lpstr>Uniformes</vt:lpstr>
      <vt:lpstr>ADM</vt:lpstr>
      <vt:lpstr>'Aj. Manut'!Area_de_impressao</vt:lpstr>
      <vt:lpstr>'Art. Manut'!Area_de_impressao</vt:lpstr>
      <vt:lpstr>Bombeiro!Area_de_impressao</vt:lpstr>
      <vt:lpstr>'Elet. Plant-D'!Area_de_impressao</vt:lpstr>
      <vt:lpstr>'Elet. Plant-N'!Area_de_impressao</vt:lpstr>
      <vt:lpstr>Eletricista!Area_de_impressao</vt:lpstr>
      <vt:lpstr>Encarreg!Area_de_impressao</vt:lpstr>
      <vt:lpstr>'Eng. Eletric'!Area_de_impressao</vt:lpstr>
      <vt:lpstr>'Ferramentas - Equipts'!Area_de_impressao</vt:lpstr>
      <vt:lpstr>MAT.!Area_de_impressao</vt:lpstr>
      <vt:lpstr>'RESUMO (MO+MAT)'!Area_de_impressao</vt:lpstr>
      <vt:lpstr>'Téc. Adm'!Area_de_impressao</vt:lpstr>
      <vt:lpstr>'Téc. Eletromec.'!Area_de_impressao</vt:lpstr>
      <vt:lpstr>'Tec. Eletron.'!Area_de_impressao</vt:lpstr>
      <vt:lpstr>LUCRO_ENGEMIL</vt:lpstr>
    </vt:vector>
  </TitlesOfParts>
  <Company>MME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gestor_seg</dc:creator>
  <cp:lastModifiedBy>Claudia Mota Monteiro</cp:lastModifiedBy>
  <cp:lastPrinted>2018-11-01T17:38:53Z</cp:lastPrinted>
  <dcterms:created xsi:type="dcterms:W3CDTF">2010-08-26T13:30:08Z</dcterms:created>
  <dcterms:modified xsi:type="dcterms:W3CDTF">2020-05-13T23:43:01Z</dcterms:modified>
</cp:coreProperties>
</file>